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9032" windowHeight="9720" tabRatio="917" firstSheet="1" activeTab="7"/>
  </bookViews>
  <sheets>
    <sheet name="SolarGenerator" sheetId="1" r:id="rId1"/>
    <sheet name="NOCTRatings" sheetId="2" r:id="rId2"/>
    <sheet name="NOCT with max" sheetId="3" r:id="rId3"/>
    <sheet name="Communications" sheetId="4" r:id="rId4"/>
    <sheet name="SmallNOCT" sheetId="5" r:id="rId5"/>
    <sheet name="Minimum Configuration" sheetId="6" r:id="rId6"/>
    <sheet name="Small 12 Volt DC System" sheetId="7" r:id="rId7"/>
    <sheet name="Charging With Load" sheetId="8" r:id="rId8"/>
    <sheet name="Charging load real" sheetId="9" r:id="rId9"/>
    <sheet name="NOCT + 20% DOD" sheetId="10" r:id="rId10"/>
    <sheet name="Network Only System" sheetId="11" r:id="rId11"/>
  </sheets>
  <definedNames/>
  <calcPr fullCalcOnLoad="1"/>
</workbook>
</file>

<file path=xl/sharedStrings.xml><?xml version="1.0" encoding="utf-8"?>
<sst xmlns="http://schemas.openxmlformats.org/spreadsheetml/2006/main" count="4167" uniqueCount="1215">
  <si>
    <t>Inverters draw a little power in on without load</t>
  </si>
  <si>
    <t xml:space="preserve"> &lt;== Do not change.</t>
  </si>
  <si>
    <t>&lt;= Used when solar is primary residential power.</t>
  </si>
  <si>
    <t>&lt;= Used when solar is primary power and located remotely.</t>
  </si>
  <si>
    <t>Bluetti EB3A 500W, 268WH would run little</t>
  </si>
  <si>
    <t>fridge for 11 hours.  Or off-the-air TV for 7 hours</t>
  </si>
  <si>
    <t>(50" Samsung TV).</t>
  </si>
  <si>
    <t>https://www.aliexpress.us/item/3256805077579157.html?ug_edm_item_id=3256805077579157</t>
  </si>
  <si>
    <t>$163.39 + tax</t>
  </si>
  <si>
    <t>this is a learning experience for me.  I'm investing time</t>
  </si>
  <si>
    <t>freezer 103W running</t>
  </si>
  <si>
    <t>290W defrost, 78avg</t>
  </si>
  <si>
    <t>in 24 hours</t>
  </si>
  <si>
    <t>The batteries are DataSafe 12HX330 rated 82 AH at the 8 hour rate</t>
  </si>
  <si>
    <t>The "small fridge" is a very efficient Kenmore 4.4 cubic foot model.</t>
  </si>
  <si>
    <t>It uses daily power similar to the Engel but is much larger.</t>
  </si>
  <si>
    <t>@  Why 50% Depth of Discharge (DOD)?</t>
  </si>
  <si>
    <t>If cable, internet, phone out then</t>
  </si>
  <si>
    <t>remove them and note longer time</t>
  </si>
  <si>
    <t>when 24 hour loads are removed.</t>
  </si>
  <si>
    <t>#</t>
  </si>
  <si>
    <t>2000 W PSW inverter [ebay] needed to run fridge, freezer, laser printer, garage door opener</t>
  </si>
  <si>
    <t xml:space="preserve">reduces the hours you will have power - the battery charge is finite :-(  The solar panels can deliver XX watts for as </t>
  </si>
  <si>
    <t>Always use the higher amp value in battery life calculations.</t>
  </si>
  <si>
    <t>Not portable like Goal Zero Yeti 1250, but it has 540AH of battery (instead of 100AH), it includes three</t>
  </si>
  <si>
    <t>hours (instead of 1250 watt hours) and it has a 2000 watt inverter (instead of 1200).</t>
  </si>
  <si>
    <t xml:space="preserve"> &lt;= hours on battery to listed DOD =&gt;</t>
  </si>
  <si>
    <r>
      <t xml:space="preserve">Enter idle current (amps) in </t>
    </r>
    <r>
      <rPr>
        <b/>
        <sz val="10"/>
        <color indexed="15"/>
        <rFont val="Arial"/>
        <family val="2"/>
      </rPr>
      <t>blue</t>
    </r>
    <r>
      <rPr>
        <b/>
        <sz val="10"/>
        <rFont val="Arial"/>
        <family val="2"/>
      </rPr>
      <t xml:space="preserve"> cell O20. ###</t>
    </r>
  </si>
  <si>
    <t>The Yeti 1250 is $1600 at REI.  The 30 watt solar panels are $200 each at REI.  The Yeti with solar</t>
  </si>
  <si>
    <t>The  2 small solar panels would need 24 hours of sun to recharge 30 minutes Yeti use at 1200 watts (50% DOD)</t>
  </si>
  <si>
    <t>at 53 volts.  The MPPT charge controller does</t>
  </si>
  <si>
    <t>DC-DC conversion to convert 53 volts to battery</t>
  </si>
  <si>
    <t>53/13 = 4.08 conversion factor times 0.9 for</t>
  </si>
  <si>
    <t xml:space="preserve"> &lt;= your battery bank's max safe %DOD</t>
  </si>
  <si>
    <t xml:space="preserve"> &lt;= your battery bank's amp hours</t>
  </si>
  <si>
    <t>&lt;= your inverter's % efficiency</t>
  </si>
  <si>
    <t>&lt;= your inverter's rated watts</t>
  </si>
  <si>
    <t>&lt;= your inverter's idle current</t>
  </si>
  <si>
    <t>MRS LV relay 0.842A</t>
  </si>
  <si>
    <t>TM LV relay 0.233A</t>
  </si>
  <si>
    <t>DC Amps  12 Volt system</t>
  </si>
  <si>
    <t>times 4.08 conversion ratio times 0.9 efficiency</t>
  </si>
  <si>
    <t>&lt;= inverter % efficiency</t>
  </si>
  <si>
    <t>&lt;= I expect my generator to be used only a few hours/month.</t>
  </si>
  <si>
    <t>The house has a 4 circuit transfer switch (Gen-Tran brand) that can be fed via a heavy duty (12 gauge) extension cord to</t>
  </si>
  <si>
    <t>WH&gt;</t>
  </si>
  <si>
    <t xml:space="preserve">My design is a real solar generator or a "long run UPS" that can power a few items overnight so I'm not setting up a generator in a </t>
  </si>
  <si>
    <t xml:space="preserve">storm or in the dark.  Items with a value in "AC Watts" are being powered.  Adding more "goodies" reduces the number of hours you </t>
  </si>
  <si>
    <t>100 watt solar panels (instead of 2 optional 30 watt panels), it can provide 6480 watt</t>
  </si>
  <si>
    <t>What does it cost?</t>
  </si>
  <si>
    <t>charging is semi-portable (115lb) I don't think that many people will be hauling it around.</t>
  </si>
  <si>
    <t>My design needs less than 2 hours to recharge from 30 minutes use at 1200 watts.</t>
  </si>
  <si>
    <t>I did not need to provide special support for the batteries, as there is a metal-framed shelving unit in the</t>
  </si>
  <si>
    <t>basement that is rated for 800lbs per shelf.  The shelves are 4 feet by 2 feet so the six 70lb batteries fit</t>
  </si>
  <si>
    <t>%# altestore.com: WH / sun hours / 0.67</t>
  </si>
  <si>
    <t>on one shelf with plenty of space for other things (solar controller, inverter).  Remember that these are</t>
  </si>
  <si>
    <t>sealed batteries so there is no spilled acid to eat through shelving or damage expensive electronics.</t>
  </si>
  <si>
    <t>(6) 12HX330 batteries (90AH each) [local]  (new = $300 each)</t>
  </si>
  <si>
    <t>inkjet (idle) 2</t>
  </si>
  <si>
    <t xml:space="preserve">May need 2 inverters - add 300-500W to power </t>
  </si>
  <si>
    <t>laser (idle) 3</t>
  </si>
  <si>
    <t>1100Wµwave (1750w)</t>
  </si>
  <si>
    <t>If you add in the garage door opener, it seems to have less effect on the run time than much lower powered</t>
  </si>
  <si>
    <t>laptop D630 16 Word</t>
  </si>
  <si>
    <t>laptop 16</t>
  </si>
  <si>
    <t xml:space="preserve">items.  Look at the expected Hours.  It's 0.1 hour or 6 minutes.  At about 90 seconds to open or close, </t>
  </si>
  <si>
    <t>&lt;= your inverter % efficiency</t>
  </si>
  <si>
    <t>&lt;= your inverter rated watts</t>
  </si>
  <si>
    <t>Default is "wait until daylight" backup with limited power.</t>
  </si>
  <si>
    <t>Limit the devices to just those in green.  You get 1 day</t>
  </si>
  <si>
    <t>of essential things.  Or more than 2 days of those devices</t>
  </si>
  <si>
    <t>Hours/days are orange if &lt; 24 hours.</t>
  </si>
  <si>
    <t>watt days to N13 %DOD</t>
  </si>
  <si>
    <t>Furnace hrs/day at 20ºF</t>
  </si>
  <si>
    <r>
      <t xml:space="preserve">Average Outdoor Temp </t>
    </r>
    <r>
      <rPr>
        <b/>
        <sz val="10"/>
        <rFont val="Arial"/>
        <family val="0"/>
      </rPr>
      <t>º</t>
    </r>
    <r>
      <rPr>
        <b/>
        <sz val="10"/>
        <rFont val="Arial"/>
        <family val="2"/>
      </rPr>
      <t>F@@</t>
    </r>
  </si>
  <si>
    <t>@@ Technically correct daily average is</t>
  </si>
  <si>
    <t>sum of each hour's temp and divide by 24.</t>
  </si>
  <si>
    <t>Rule of thumb is high temp + low temp and</t>
  </si>
  <si>
    <t>divide by 2.  Use local waether records from</t>
  </si>
  <si>
    <t>nearest general aviation airfield (or your own</t>
  </si>
  <si>
    <t>observations and see which is most correct.</t>
  </si>
  <si>
    <t>°C changes are an exercise for the reader</t>
  </si>
  <si>
    <t>50" tv 50-200W</t>
  </si>
  <si>
    <t>the system can power listed items and recharge the</t>
  </si>
  <si>
    <t>w win days to DOD</t>
  </si>
  <si>
    <t>@freezer OK on 24hr/off 24hr so 29W avg if</t>
  </si>
  <si>
    <t>1 day on/1 day off - use 12h on/12h off timer</t>
  </si>
  <si>
    <t>freezer OK if off 24hrs. simplest is timer for</t>
  </si>
  <si>
    <t>44.7AH @ 50% = 268WH  E3BA</t>
  </si>
  <si>
    <t>Hours delay after start of backup future</t>
  </si>
  <si>
    <t>Battery AH for rated %DOD (hours)</t>
  </si>
  <si>
    <t>Battery AH for rated %DOD (24 hours)</t>
  </si>
  <si>
    <t>Battery AH for rated %DOD (2 days)</t>
  </si>
  <si>
    <t>Battery AH for rated %DOD (3 days)</t>
  </si>
  <si>
    <t>Battery AH for rated % DOD (days)</t>
  </si>
  <si>
    <t>and the small  fridge (delete XX from B5 and add 55 in B4).</t>
  </si>
  <si>
    <t>EPEver MPPT 0.015a</t>
  </si>
  <si>
    <t>PowMr MPPT 0.106a</t>
  </si>
  <si>
    <t>900W solar keeps up with that load most of the year.</t>
  </si>
  <si>
    <t>Winter</t>
  </si>
  <si>
    <t>Summer</t>
  </si>
  <si>
    <t>Solar hours at your location</t>
  </si>
  <si>
    <t>link in M144</t>
  </si>
  <si>
    <r>
      <t xml:space="preserve">Enter your </t>
    </r>
    <r>
      <rPr>
        <b/>
        <sz val="10"/>
        <color indexed="10"/>
        <rFont val="Arial"/>
        <family val="2"/>
      </rPr>
      <t>12 volt</t>
    </r>
    <r>
      <rPr>
        <b/>
        <sz val="10"/>
        <rFont val="Arial"/>
        <family val="2"/>
      </rPr>
      <t xml:space="preserve"> </t>
    </r>
    <r>
      <rPr>
        <b/>
        <sz val="10"/>
        <color indexed="8"/>
        <rFont val="Arial"/>
        <family val="2"/>
      </rPr>
      <t>power system information in the</t>
    </r>
  </si>
  <si>
    <r>
      <t xml:space="preserve">boxes with </t>
    </r>
    <r>
      <rPr>
        <b/>
        <sz val="10"/>
        <color indexed="10"/>
        <rFont val="Arial"/>
        <family val="2"/>
      </rPr>
      <t>red</t>
    </r>
    <r>
      <rPr>
        <b/>
        <sz val="10"/>
        <rFont val="Arial"/>
        <family val="2"/>
      </rPr>
      <t xml:space="preserve"> numbers below.</t>
    </r>
  </si>
  <si>
    <t>Pure Sine Wave (PSW) inverters are typically 80%-90%</t>
  </si>
  <si>
    <t>efficient.  Using 80% prevents excessive optimism</t>
  </si>
  <si>
    <t>about available power prior to load testing.</t>
  </si>
  <si>
    <t>Inverters draw a little power when on with no load</t>
  </si>
  <si>
    <t>6 Feb 2020</t>
  </si>
  <si>
    <t>(idle current).</t>
  </si>
  <si>
    <t>mine: claimed &gt;= 85% - true &lt;= 760W (90% at 300W)</t>
  </si>
  <si>
    <t>Same for a 2000 watt inverter with a maximum 1300 watt load.</t>
  </si>
  <si>
    <t>Decem</t>
  </si>
  <si>
    <t>Last update</t>
  </si>
  <si>
    <t>Moved solar hours to top.  General text updates and corrections.  Battery AH derated because of age (84 instead of 90AH each).</t>
  </si>
  <si>
    <t>hours to recharge - green if OK, yellow if need more than daily full sun hours</t>
  </si>
  <si>
    <t>the opener requires 3 minutes for the open/close cycle.  With 2 cycles per day (leave for work, return home)</t>
  </si>
  <si>
    <t>Enter your 12 volt battery bank amp hours</t>
  </si>
  <si>
    <t>in the box with red numbers below.</t>
  </si>
  <si>
    <t>Ham xcvr 1.1a avg</t>
  </si>
  <si>
    <t xml:space="preserve">### If you know the values for your inverter, =IF(B29&gt;100,(1-b29/400) * O20,1.2).  Change 100 to </t>
  </si>
  <si>
    <r>
      <t xml:space="preserve">Enter idle current in </t>
    </r>
    <r>
      <rPr>
        <b/>
        <sz val="10"/>
        <color indexed="15"/>
        <rFont val="Arial"/>
        <family val="2"/>
      </rPr>
      <t>blue</t>
    </r>
    <r>
      <rPr>
        <b/>
        <sz val="10"/>
        <rFont val="Arial"/>
        <family val="2"/>
      </rPr>
      <t xml:space="preserve"> cell O21. ###</t>
    </r>
  </si>
  <si>
    <t>the threshold where idle current is overridden.  The 400 may need adjustment up or down.</t>
  </si>
  <si>
    <t>Need battery DOD to be adjustable.</t>
  </si>
  <si>
    <t>The 2000W inverter idles at 1.2 amps if the battery voltage is below 13.2 volts but at 0.7 amp above 13.2 volts.</t>
  </si>
  <si>
    <t>Always use the higher value in battery life calculations.</t>
  </si>
  <si>
    <t>In the Maximums on row 32, the background color will be salmon =&gt;</t>
  </si>
  <si>
    <t>If the load decreases, the number of hours (days) goes up.  If the load increases, the number</t>
  </si>
  <si>
    <t>number, which is a measure of how much the battery capacity changes between low current</t>
  </si>
  <si>
    <t>Max DC Amps</t>
  </si>
  <si>
    <t>NOCT is more realistic testing conditions.</t>
  </si>
  <si>
    <t>One day</t>
  </si>
  <si>
    <t>Recharge times are with all devices OFF and ALL power being used for charging.  Recharge tines with devices on are longer</t>
  </si>
  <si>
    <t xml:space="preserve">*@@  In days of testing in May (peak solar month) the highest power from four 100 watt panels was 306 watts, which is 76.5% of the STC rating.  </t>
  </si>
  <si>
    <t>If having power to pump water is important, you should design your system using the lower numbers.</t>
  </si>
  <si>
    <t>Run inverter gen 6-8 hours/day to have window</t>
  </si>
  <si>
    <t>A/C and charge battery bank.  How many hours</t>
  </si>
  <si>
    <t>or gallons would that be?</t>
  </si>
  <si>
    <t>http://www.csgnetwork.com/batterylifecalc.html</t>
  </si>
  <si>
    <t>https://www.batterystuff.com/kb/tools/calculator-sizing-a-battery-to-a-load.html</t>
  </si>
  <si>
    <t>Alt AH</t>
  </si>
  <si>
    <t>290W defrost, 81avg</t>
  </si>
  <si>
    <t>closer to the real world for batteries in good condition.  For the battery from your brother-in-law's</t>
  </si>
  <si>
    <t>old car, use the first link.</t>
  </si>
  <si>
    <t>Do not change &gt;</t>
  </si>
  <si>
    <t>maximum</t>
  </si>
  <si>
    <t>Pure Sine Wave (PSW) inverters</t>
  </si>
  <si>
    <t>Manual Start Date</t>
  </si>
  <si>
    <t>Manual Start Time</t>
  </si>
  <si>
    <t>Auto Start Date</t>
  </si>
  <si>
    <t>Auto Backup Power Start Time</t>
  </si>
  <si>
    <t>are typically 80-90% efficient.</t>
  </si>
  <si>
    <t>&lt;= AH needed for battery only</t>
  </si>
  <si>
    <t>Perhaps optimum to run freezer and A/C on</t>
  </si>
  <si>
    <t>extension cords from kitchen when</t>
  </si>
  <si>
    <t>charging battery bank.  550 watts to freezer</t>
  </si>
  <si>
    <t>&amp; A/C, rest of 1600 watts to fridge and</t>
  </si>
  <si>
    <t>battery charging.</t>
  </si>
  <si>
    <t>If you have daily hydro or wind power, put the daily AH in cell U5.</t>
  </si>
  <si>
    <t>Inverter WH/Day</t>
  </si>
  <si>
    <t>24 hours of power used at this solar level</t>
  </si>
  <si>
    <t>garage door idle 5.1</t>
  </si>
  <si>
    <t>you have 6 minutes.   The idle power for the opener is 5.1 watts.  The running power is 430 watts.</t>
  </si>
  <si>
    <t>garage door 430 *</t>
  </si>
  <si>
    <t>Note that the 24 hour idle power is greater than the estimated 6 minutes of use per day.  Perhaps something to turn off?</t>
  </si>
  <si>
    <t>reach 3 amps.  I'll give it an average value of 1.3 amps as the screen will be blanked most of the</t>
  </si>
  <si>
    <t>and 1.5 amps when it's on.  The current increases when the computer does OS updates and can</t>
  </si>
  <si>
    <t>LED kitchen lights 9</t>
  </si>
  <si>
    <t>weather radio 1.4</t>
  </si>
  <si>
    <t>Inverter DC Amps  (12 Volts)</t>
  </si>
  <si>
    <t>Battery AH for 50% DOD  (8 hours)</t>
  </si>
  <si>
    <t>Battery AH for 50% DOD (12 hours)</t>
  </si>
  <si>
    <t>Battery AH for 50% DOD (16 hours)</t>
  </si>
  <si>
    <t>Battery AH for 50% DOD (24 hours)</t>
  </si>
  <si>
    <t>Battery AH for 50% DOD (2 days)</t>
  </si>
  <si>
    <t>Battery AH for 50% DOD (3 days)</t>
  </si>
  <si>
    <t>&lt;= inverter rated watts</t>
  </si>
  <si>
    <t>used for charging.</t>
  </si>
  <si>
    <t>Recharge times are</t>
  </si>
  <si>
    <t>with all devices OFF.</t>
  </si>
  <si>
    <t>Recharge tines with</t>
  </si>
  <si>
    <t>Solar panel calculations</t>
  </si>
  <si>
    <t>Imp</t>
  </si>
  <si>
    <t>Vmp</t>
  </si>
  <si>
    <t># panels</t>
  </si>
  <si>
    <t>Sonali</t>
  </si>
  <si>
    <t>Grape</t>
  </si>
  <si>
    <t>Eco-Worthy</t>
  </si>
  <si>
    <t>Volts</t>
  </si>
  <si>
    <t>I could do this if</t>
  </si>
  <si>
    <t>I split the bank</t>
  </si>
  <si>
    <t>and only charged</t>
  </si>
  <si>
    <t>3 batteries at a</t>
  </si>
  <si>
    <t>Ideal AGM charge</t>
  </si>
  <si>
    <t>rate after large</t>
  </si>
  <si>
    <t>discharge is 0.2C</t>
  </si>
  <si>
    <t>1110W of solar</t>
  </si>
  <si>
    <t>online and in full</t>
  </si>
  <si>
    <t>volts</t>
  </si>
  <si>
    <t>amps</t>
  </si>
  <si>
    <t>watts</t>
  </si>
  <si>
    <t>power supplies for testing</t>
  </si>
  <si>
    <t>standalone MPPT amps at 13V</t>
  </si>
  <si>
    <t>values are rounded</t>
  </si>
  <si>
    <t>270AH as the maximum safe discharge in this application.</t>
  </si>
  <si>
    <t>recharge after 24 hours use.  Partial sun or sun at an angle is not the</t>
  </si>
  <si>
    <t>same as full sun with panels pointed at the sun.  Maybe half as much power.</t>
  </si>
  <si>
    <t>The same applies to larger solar arrays.</t>
  </si>
  <si>
    <t>not partial shade or sun at 45 degrees to the panel.</t>
  </si>
  <si>
    <t>Remember that these numbers are for FULL sun,</t>
  </si>
  <si>
    <t>With the original settings for my use, the battery bank will handle one day (actually, 28.2 hours).</t>
  </si>
  <si>
    <t>of hours (days) goes down.  There are some factors not included, such as the battery Peukert</t>
  </si>
  <si>
    <t>hours to recharge - green OK, yellow need more than daily full sun hours</t>
  </si>
  <si>
    <t>O22 hr</t>
  </si>
  <si>
    <t>recharge AH used +10%</t>
  </si>
  <si>
    <t>and high current loads.  For calculations of battery life versus load, try these likns:</t>
  </si>
  <si>
    <t>The first link is more pessimistic than the battery manufacturers.  The second link is probably</t>
  </si>
  <si>
    <t>one panel</t>
  </si>
  <si>
    <t>Solar panel power</t>
  </si>
  <si>
    <t>two panels in parallel</t>
  </si>
  <si>
    <t>two panels in series</t>
  </si>
  <si>
    <t>always higher than</t>
  </si>
  <si>
    <t>average winter sun.</t>
  </si>
  <si>
    <t>Average summer sun</t>
  </si>
  <si>
    <t>three panels in series</t>
  </si>
  <si>
    <t>TOD***</t>
  </si>
  <si>
    <t>*** TOD means Time of day</t>
  </si>
  <si>
    <t>dependent.  May need counter</t>
  </si>
  <si>
    <t>lighting during day but definitely</t>
  </si>
  <si>
    <t>is always higher than</t>
  </si>
  <si>
    <t>battery power or  you will need to use a generator to</t>
  </si>
  <si>
    <t>power items and recharge batteries.</t>
  </si>
  <si>
    <t>after dark.  TOD computations</t>
  </si>
  <si>
    <t>are a future plan.</t>
  </si>
  <si>
    <t>Lower amps mean less expensive cable for</t>
  </si>
  <si>
    <t>the same distance from panels to controller.</t>
  </si>
  <si>
    <t>two parallel sets of two panels in series *</t>
  </si>
  <si>
    <t>four panels in series *</t>
  </si>
  <si>
    <t>I will test both configurations marked *</t>
  </si>
  <si>
    <t>and use the one that delivers the most</t>
  </si>
  <si>
    <t>power on a day's sunlight.</t>
  </si>
  <si>
    <t>power at this level</t>
  </si>
  <si>
    <t>hours generator use for 24 hour</t>
  </si>
  <si>
    <t>used AH limit is</t>
  </si>
  <si>
    <t>For long term power,</t>
  </si>
  <si>
    <t>24 hours usage should</t>
  </si>
  <si>
    <t xml:space="preserve"> &lt;= days on battery to listed DOD </t>
  </si>
  <si>
    <t xml:space="preserve"> &lt;= hours on battery to listed DOD</t>
  </si>
  <si>
    <t>2 in U17 if lithium, 1 if lead.</t>
  </si>
  <si>
    <t>solar monitor 1.3 DC</t>
  </si>
  <si>
    <t>(90% at</t>
  </si>
  <si>
    <t>300W)</t>
  </si>
  <si>
    <t>bat AH</t>
  </si>
  <si>
    <t>December</t>
  </si>
  <si>
    <t>May</t>
  </si>
  <si>
    <t>panels facing S</t>
  </si>
  <si>
    <t>S</t>
  </si>
  <si>
    <t>panels facing SSW</t>
  </si>
  <si>
    <t>SSW</t>
  </si>
  <si>
    <t>Check link below for</t>
  </si>
  <si>
    <t xml:space="preserve"> &lt;= inverse of %DOD</t>
  </si>
  <si>
    <t>monthly sun hours.</t>
  </si>
  <si>
    <t>http://www.solarelectricityhandbook.com/solar-irradiance.aspx</t>
  </si>
  <si>
    <t>Monthly sun hours</t>
  </si>
  <si>
    <t>the world and it includes the variations for different mounting</t>
  </si>
  <si>
    <t>These may be future additions.  Currently "food for thought".</t>
  </si>
  <si>
    <t>angles, from horizontal to vertical.</t>
  </si>
  <si>
    <t>Battery AH for 50% DOD (4 days)</t>
  </si>
  <si>
    <t>typically 80-90% efficient.  Using 80%</t>
  </si>
  <si>
    <t>prevents excessive optimism about</t>
  </si>
  <si>
    <t>on with no load (idle current).</t>
  </si>
  <si>
    <t>available power prior to load testing.</t>
  </si>
  <si>
    <t>Inverters draw a little power when</t>
  </si>
  <si>
    <t>G3 hours</t>
  </si>
  <si>
    <t>M3 days</t>
  </si>
  <si>
    <t>Enter idle current in blue cell C8.</t>
  </si>
  <si>
    <t xml:space="preserve"> Last update</t>
  </si>
  <si>
    <t>Battery AH for listed %DOD</t>
  </si>
  <si>
    <t>20% for flooded</t>
  </si>
  <si>
    <t>80% for lithium</t>
  </si>
  <si>
    <t>$$$$ Fridge OK 6-10 hours if not opened.</t>
  </si>
  <si>
    <t>Freezer OK 16-24 hours if not opened.</t>
  </si>
  <si>
    <t>Min 24Hr Array =&gt;</t>
  </si>
  <si>
    <t>Watts</t>
  </si>
  <si>
    <t>50% for AGM or Gel</t>
  </si>
  <si>
    <t>See U69</t>
  </si>
  <si>
    <t>The laptop used for monitoring the MPPT controller uses 1.1 amps when the display is blanked</t>
  </si>
  <si>
    <t>time (blanks after 5 minutes of no mouse of keyboard activity).  Power for the laptop is</t>
  </si>
  <si>
    <t>Need Alt AH figured into "batt only AH" -G31:M31- by day(s) or % of day.</t>
  </si>
  <si>
    <t>be recharged with less</t>
  </si>
  <si>
    <t>than one day's sun.</t>
  </si>
  <si>
    <t>fridge.  400W solar keeps up with minimum</t>
  </si>
  <si>
    <t>load 9 months but not in winter w/phone.</t>
  </si>
  <si>
    <t>Enter inverter efficiency below AH.</t>
  </si>
  <si>
    <t>Enter the device name, Watts and Hours</t>
  </si>
  <si>
    <t>If you only know the idle current, put it in B9 and just let it provide a very small cushion.</t>
  </si>
  <si>
    <t>used per day in left columns.</t>
  </si>
  <si>
    <t>Enter inverter rated watts below efficiency</t>
  </si>
  <si>
    <t>and ALL power being</t>
  </si>
  <si>
    <t>upright freezer 81 *</t>
  </si>
  <si>
    <t>freezer 81 (avg)</t>
  </si>
  <si>
    <t>Freezer checked Jan</t>
  </si>
  <si>
    <t>Solar recharge times</t>
  </si>
  <si>
    <t>based on winter sun.</t>
  </si>
  <si>
    <t xml:space="preserve">will have power - the battery charge is finite ;-)  The solar panels can deliver 400 watts for as many hours as they receive adequate </t>
  </si>
  <si>
    <t>sun (winter average is 3.7 hours/day).  That translates to 27 amps for 3.7 hours or 100AH (winter) or 5.3 * 27 = 143AH (summer)</t>
  </si>
  <si>
    <t xml:space="preserve">.The least 24 hour load is 205 AH  205 - 100 = 105 AH that is not replaced and nothing is replaced if it's cloudy.  </t>
  </si>
  <si>
    <t>take AC power from the 2000 watt pure sine wave (PSW) inverter that's powered by the battery bank.</t>
  </si>
  <si>
    <t>A mostly shaded 100W panel that delivers 5 watts</t>
  </si>
  <si>
    <t>is seen by the meter but doesn't provide much</t>
  </si>
  <si>
    <t>charge.</t>
  </si>
  <si>
    <t>voltage..  3.7 hours winter sun does not keep up with the daily load.</t>
  </si>
  <si>
    <t>Link above gives useful sun hours by month for many places in</t>
  </si>
  <si>
    <t>provided by a DC-DC converter that runs on 12 volts and provides 19 volts to the laptop, so</t>
  </si>
  <si>
    <t>the monitor PC can run without the inverter being on.</t>
  </si>
  <si>
    <t>Total Solar</t>
  </si>
  <si>
    <t>Change cell S48 to your winter</t>
  </si>
  <si>
    <t>hours and S49 to your summer</t>
  </si>
  <si>
    <t>recharge summer (5.3 hours sun)</t>
  </si>
  <si>
    <t xml:space="preserve">err on the pessimistic side.  </t>
  </si>
  <si>
    <t>The 3210A MPPT controller specs show 93% efficiency at 350</t>
  </si>
  <si>
    <t>watts input and 94% at 300 watts.  I used 90% to allow for loss</t>
  </si>
  <si>
    <t>in the wiring from the solar panels to the charge controller.</t>
  </si>
  <si>
    <t>Irrad SSW</t>
  </si>
  <si>
    <t>winter</t>
  </si>
  <si>
    <t>summer</t>
  </si>
  <si>
    <t>Irrad  S</t>
  </si>
  <si>
    <t>24hr use</t>
  </si>
  <si>
    <t>possible future changes:</t>
  </si>
  <si>
    <t>u19: =(O19/13)*0.73*0.9*S48</t>
  </si>
  <si>
    <t>o15: =O14+T8+U19</t>
  </si>
  <si>
    <t>When designing a solar power system, it is always correct to</t>
  </si>
  <si>
    <t>claimed eff &gt;= 85% - OK &lt;= 760W</t>
  </si>
  <si>
    <t>devices on are longer</t>
  </si>
  <si>
    <t>1100Wµwave 1750w</t>
  </si>
  <si>
    <t xml:space="preserve"> Eco-Worthy) and from Home Depot when on sale (Grape Solar</t>
  </si>
  <si>
    <t xml:space="preserve">GS-100). </t>
  </si>
  <si>
    <t>100 watt solar panels are $100 delivered on Ebay (Mighty Max,</t>
  </si>
  <si>
    <t>The Traver 3210A MPPT charge controller is cheaper on Ebay</t>
  </si>
  <si>
    <t>($100 or less delivered from China) that from a US distributor.</t>
  </si>
  <si>
    <t>&lt;= batt only needed AH</t>
  </si>
  <si>
    <t>You will have a wait of up to several weeks.  US distributors</t>
  </si>
  <si>
    <t xml:space="preserve"> &lt;= your battery's safe %DOD</t>
  </si>
  <si>
    <t>typically can deliver within the week but you pay extra for the</t>
  </si>
  <si>
    <t>convenience - and having a phone number to call if you have</t>
  </si>
  <si>
    <t>problems with your unit.</t>
  </si>
  <si>
    <t>winter sun hours</t>
  </si>
  <si>
    <t>summer sun hours</t>
  </si>
  <si>
    <t>(8 hours)</t>
  </si>
  <si>
    <t>Testing on 20 Feb 2021 works out to 3.2 hours of</t>
  </si>
  <si>
    <t>420AH battery bank at 82% charge when solar power</t>
  </si>
  <si>
    <t>connected and subjected to intermittent 35-40A loads</t>
  </si>
  <si>
    <t>during charging so never above 90% SOC.</t>
  </si>
  <si>
    <t>useful sun: 800WH from 250W panel = 800/250 = 3.2hr</t>
  </si>
  <si>
    <t>(12 hours)</t>
  </si>
  <si>
    <t>(16 hours)</t>
  </si>
  <si>
    <t>(1 day)</t>
  </si>
  <si>
    <t>(2 days)</t>
  </si>
  <si>
    <t>(3 days)</t>
  </si>
  <si>
    <t>(4 days)</t>
  </si>
  <si>
    <t>recharge year average (4.5 hours sun)</t>
  </si>
  <si>
    <t>average sun hours</t>
  </si>
  <si>
    <t>winter hours of sun needed.</t>
  </si>
  <si>
    <t>hours.</t>
  </si>
  <si>
    <t>recharge (used AH + 15%)</t>
  </si>
  <si>
    <t>Winter &amp; summer sun</t>
  </si>
  <si>
    <t>for your location.</t>
  </si>
  <si>
    <t>Hours for my location.</t>
  </si>
  <si>
    <t>DC Amps  (12 Volts)</t>
  </si>
  <si>
    <t>amps/hour (If full sun ;-)   ***</t>
  </si>
  <si>
    <t>See next sheet</t>
  </si>
  <si>
    <t>amps/hour</t>
  </si>
  <si>
    <t>December recharge</t>
  </si>
  <si>
    <t>Note that not having enough solar panels to keep up with the daily usage does not preclude having power for several days.  Even if the panels can't keep up with the load,</t>
  </si>
  <si>
    <t>22 Mar 2018 - 250W panel reached 235 watts or 92% of rated power.</t>
  </si>
  <si>
    <t xml:space="preserve">Delete entries in B5 through B9 and B13 then </t>
  </si>
  <si>
    <t>Battery AH for O14 DOD (M2 days)</t>
  </si>
  <si>
    <t>(M2 days)</t>
  </si>
  <si>
    <t>7</t>
  </si>
  <si>
    <t>8</t>
  </si>
  <si>
    <t>(G2 hours)</t>
  </si>
  <si>
    <t>Battery AH for O14 DOD  (G2 hours)</t>
  </si>
  <si>
    <t>Solar power may be useless if batteries</t>
  </si>
  <si>
    <t>If you have a 20 hour outage &amp; the next day</t>
  </si>
  <si>
    <t>battery AH used</t>
  </si>
  <si>
    <t>put 55 in B4.  Note the light blue background</t>
  </si>
  <si>
    <t>in G14 through J14, indicating that the daily</t>
  </si>
  <si>
    <t>usage is less than 20% of the battery capacity.</t>
  </si>
  <si>
    <t>daily battery AH used</t>
  </si>
  <si>
    <t>typically 80-90% efficient.</t>
  </si>
  <si>
    <t xml:space="preserve"> &lt;= maximum %DOD</t>
  </si>
  <si>
    <t>This would give you perhaps 9 years of service</t>
  </si>
  <si>
    <t>from the batteries.</t>
  </si>
  <si>
    <t>Look at the solar charge time and you'll see</t>
  </si>
  <si>
    <t xml:space="preserve">that 900 watts of solar panels can keep up with </t>
  </si>
  <si>
    <t>the daily load in the winter and 1300 watts can</t>
  </si>
  <si>
    <t>recharge 2 days' usage in 1 day of sun.</t>
  </si>
  <si>
    <t>inverter idle ###</t>
  </si>
  <si>
    <t>May recharge</t>
  </si>
  <si>
    <t>inverter and 8 times larger battery bank to run furnace.  Motor HP determines inverter size needed to handle starting watts.</t>
  </si>
  <si>
    <t>* Need minimum 1500 Watt inverter for fridge, freezer and laser printer.  Need 2000 Watt inverter for garage door.  Need 3000 Watt</t>
  </si>
  <si>
    <t>small fridge 55</t>
  </si>
  <si>
    <t xml:space="preserve"> #</t>
  </si>
  <si>
    <t>Enter inverter efficiency below AH.  Enter</t>
  </si>
  <si>
    <t xml:space="preserve"> &lt;= effective amp hours</t>
  </si>
  <si>
    <t>Pure Sine Wave (PSW) inverters are typically 80%-90% efficient.</t>
  </si>
  <si>
    <t>Using 80% prevents excessive optimism about available power</t>
  </si>
  <si>
    <t>prior to load testing. Inverters draw a little power when on</t>
  </si>
  <si>
    <t>Need Daily AH added as on Charging with load page.</t>
  </si>
  <si>
    <t xml:space="preserve">If we lose grid power for an extended period, Uverse will likely also be out (based on our Dec 2017 outage).  </t>
  </si>
  <si>
    <t>Most of my use is under 760W.</t>
  </si>
  <si>
    <t>Varies by model</t>
  </si>
  <si>
    <t>On that basis, power for Uverse router (phone, internet, TV) not needed nor for local network unless printing from laptop to wireless printers.</t>
  </si>
  <si>
    <t>Season</t>
  </si>
  <si>
    <t>Battery AH for O14 DOD (12 hours)</t>
  </si>
  <si>
    <t>Battery AH for O14 DOD (16 hours)</t>
  </si>
  <si>
    <t>Battery AH for O14 DOD (24 hours)</t>
  </si>
  <si>
    <t>Battery AH for O14 DOD (2 days)</t>
  </si>
  <si>
    <t>Battery AH for O14 DOD (3 days)</t>
  </si>
  <si>
    <t>solar power</t>
  </si>
  <si>
    <t>Or 22 hours of thise devices and the large</t>
  </si>
  <si>
    <t>**** max constant voltage</t>
  </si>
  <si>
    <t>Same for a 2000 watt inverter with a maximum 1200 watt load.</t>
  </si>
  <si>
    <t>inverter idle 1.2 DC</t>
  </si>
  <si>
    <t>DC Watt Hrs Day</t>
  </si>
  <si>
    <t>recharge</t>
  </si>
  <si>
    <t>used+15%</t>
  </si>
  <si>
    <t>future</t>
  </si>
  <si>
    <t>You need a Kill-A-Watt or similar to determine the running watts and the number of hours used each day.</t>
  </si>
  <si>
    <t xml:space="preserve">  &lt; available AH</t>
  </si>
  <si>
    <t xml:space="preserve">  &lt;= available AH</t>
  </si>
  <si>
    <t>Divide watts used per day by watts of device to get hours.  The running watts of the 4.4 cubic foot dorm fridge</t>
  </si>
  <si>
    <t>(2) 300W solar panels, 2) 250W solar panels, (5) 100W solar panels</t>
  </si>
  <si>
    <t>Or is it just 3430 * (panel W/1000)</t>
  </si>
  <si>
    <t>for 857wh?</t>
  </si>
  <si>
    <t>is almost half the running watts of the 21 cubic foot fridge but it is new, better insulated and more efficient</t>
  </si>
  <si>
    <t>so it runs fewer hours a day.  (4 in winter, maybe 6 in summer)  Five small fridges would equal the size</t>
  </si>
  <si>
    <t>With sun on</t>
  </si>
  <si>
    <t xml:space="preserve"> &lt;= effective AH winter w/sun</t>
  </si>
  <si>
    <t xml:space="preserve"> &lt;= effective AH summer w/sun</t>
  </si>
  <si>
    <t>w/sun winter % discharge</t>
  </si>
  <si>
    <t>w/sun summer % discharge</t>
  </si>
  <si>
    <r>
      <t xml:space="preserve">Average Outdoor Temperature </t>
    </r>
    <r>
      <rPr>
        <b/>
        <sz val="10"/>
        <rFont val="Arial"/>
        <family val="0"/>
      </rPr>
      <t>º</t>
    </r>
    <r>
      <rPr>
        <b/>
        <sz val="10"/>
        <rFont val="Arial"/>
        <family val="2"/>
      </rPr>
      <t>F</t>
    </r>
  </si>
  <si>
    <t>Don't know the 24 hour average?</t>
  </si>
  <si>
    <t>Thermostat setting ºF</t>
  </si>
  <si>
    <t>that number by 2.</t>
  </si>
  <si>
    <t>Solar W</t>
  </si>
  <si>
    <t>Add the typical daily high + low and divide</t>
  </si>
  <si>
    <t xml:space="preserve">  % used/day</t>
  </si>
  <si>
    <t>of the big fridge but would use less power  5 * 57 watts * 4 hours = 1140 WH. 1 * 125 watts * 16 hours = 2000 WH</t>
  </si>
  <si>
    <t>Need to check the summer run time on the large fridge and freezer</t>
  </si>
  <si>
    <t>At current prices (April 2017), 100 Watt solar panels are $100 delivered from several vendors on ebay.  One 300 Watt solar</t>
  </si>
  <si>
    <t>panel is often cheaper than three 100 Watt panels but 100W panels weigh under 20lb each.  300W panels are about 60lb each.</t>
  </si>
  <si>
    <t>the number of generator hours needed. ****</t>
  </si>
  <si>
    <t>draft fan 80W, igniter 60W, house blower 400-425W so total can be 485-500W.  On a typical November day (high 62, low 37 - expect 45 &amp; 25 in January)</t>
  </si>
  <si>
    <t>Uverse phone 14</t>
  </si>
  <si>
    <t>One person can easily mount 100W panels.  You need at least 2 people to mount 300W panels.</t>
  </si>
  <si>
    <t>Avg^Amp</t>
  </si>
  <si>
    <t xml:space="preserve">Added note that daily amps are for the average power.  Peak amps would require fridge defrost at 520W, freezer defrost at 280W, </t>
  </si>
  <si>
    <t>TV at 150W, etc for over 1000 watts and that would be 96+ amps.  Batteries replaced with two 110AH and two 100AH on 24 June.</t>
  </si>
  <si>
    <t>420AH of 15 month old batteries cost me $320, but I also have three lower capacity batteries (60-65AH) for other projects.</t>
  </si>
  <si>
    <t>charge = src amps - current load</t>
  </si>
  <si>
    <t>Recharge after use - no chg during use</t>
  </si>
  <si>
    <t>If not powering garage door opener, furnace blower, large fridge or freezer, 500 Watt PSW inverter is adequate for loads other than small fridge.  1000 Watt</t>
  </si>
  <si>
    <t>watt winter days to 50% DOD</t>
  </si>
  <si>
    <t>available winter charge AH</t>
  </si>
  <si>
    <t>or larger PSW will start small fridge (untested but probable, 2000 watt works).  Large fridge and freezer would typically be OK for perhaps 8 hours if not opened.</t>
  </si>
  <si>
    <t>At some point, I'll test the small fridge on the 1000 watt MSW inverter (and closely watch the current draw and for heating of the motor).</t>
  </si>
  <si>
    <t>so it will be loafing with a maximum load of 255 watts.</t>
  </si>
  <si>
    <t>meet the test specs of new batteries.  I found them with a search for "solar" in the "For Sale" section of Craig's List in a nearby city.</t>
  </si>
  <si>
    <t>The batteries were removed from service in a large UPS at a corporate data center.  They are changed out based on age, not wear, and these</t>
  </si>
  <si>
    <t>ESRI ArcExplorer 1.1 Annual Mean Sunshine Hours</t>
  </si>
  <si>
    <t>Avg Daily Hr</t>
  </si>
  <si>
    <t>Min</t>
  </si>
  <si>
    <t>Max</t>
  </si>
  <si>
    <t>Solar useful hours: 45% Winter, 71% Summer</t>
  </si>
  <si>
    <t>58% useful year-round average</t>
  </si>
  <si>
    <t>1508 hrs/year</t>
  </si>
  <si>
    <t>of power used at this solar level</t>
  </si>
  <si>
    <t>1541176 watt hours/year</t>
  </si>
  <si>
    <t>NO WAY!</t>
  </si>
  <si>
    <t>1508 *1400*0.73=</t>
  </si>
  <si>
    <t>(Tested with metered battery load tester to 270AH discharge and battery voltage after short restwas in 50% DOD range.)</t>
  </si>
  <si>
    <t>At the time I bought this set, the scrap price was $22 each (for the lead in them) and the seller was asking $35 each. $210 for 540 AH of</t>
  </si>
  <si>
    <t>capacity, no spills and no hydrogen gassing  during charge.  These batteries can live in "people space".</t>
  </si>
  <si>
    <t>high-discharge-rated AGM batteries is about the same cost as 208 AH of new GC2 flooded batteries, but with more than twice the AH</t>
  </si>
  <si>
    <t>cabling, relays fuses, switches, circuit breakers, test eqpt. [ebay, Radio Shack, auto parts store]</t>
  </si>
  <si>
    <t>50% DOD is reached after 2 hours at 1200 watts.  The Yeti is $2000/600 = $3.34WH for 600WH (50% DOD)</t>
  </si>
  <si>
    <t>Change the values in cells S36 and S37 to your numbers.</t>
  </si>
  <si>
    <t>Using 30 amp MPPT charge controllers with 490 watts of panels on each controller.</t>
  </si>
  <si>
    <t>Note</t>
  </si>
  <si>
    <t>hour</t>
  </si>
  <si>
    <t>increase from above.</t>
  </si>
  <si>
    <t xml:space="preserve">An example:  </t>
  </si>
  <si>
    <t>@@@ have line powered</t>
  </si>
  <si>
    <t>phone but Uverse is 14W</t>
  </si>
  <si>
    <t>Turn off the big TV (zero in cell B11) and the cable box / DVR (zero in cell B7).</t>
  </si>
  <si>
    <t>The recharge amp hours for one day's usage  is 164.6 (cell J31).</t>
  </si>
  <si>
    <t>Assume that you have 400 watts of solar panels (27 amps of charge current in "full sun").</t>
  </si>
  <si>
    <t>&lt;= Need start&amp;end times</t>
  </si>
  <si>
    <t>In winter, you get 3.7 hours * 27 amps = 99.9 amp hours of charge on a sunny day.</t>
  </si>
  <si>
    <t>Remember to plug your winter/summer sun hours into any calculations.</t>
  </si>
  <si>
    <t>Max AC W</t>
  </si>
  <si>
    <t>conditioned space: less winter, more summer. KAW?</t>
  </si>
  <si>
    <t xml:space="preserve"> &lt;= hydro, wind turbine, bike, hamster wheel ;-)</t>
  </si>
  <si>
    <t xml:space="preserve"> (etc)</t>
  </si>
  <si>
    <t xml:space="preserve"> per</t>
  </si>
  <si>
    <t xml:space="preserve"> item</t>
  </si>
  <si>
    <t>Peak AC W</t>
  </si>
  <si>
    <t>why minimum of 2000 watt inverter with</t>
  </si>
  <si>
    <t>higher peak capacity is needed and</t>
  </si>
  <si>
    <t>why you need to know the maximum</t>
  </si>
  <si>
    <t>and peak power every device draws.</t>
  </si>
  <si>
    <t>Assume gen running for all A/C hours which</t>
  </si>
  <si>
    <t>Note that not having enough solar panels to keep up eith the daily usage does not preclude having power for several days.  Even if the panels can't keep up with the load,</t>
  </si>
  <si>
    <t xml:space="preserve"> they are putting some amount of power into the batteries any time there is sunlight.  </t>
  </si>
  <si>
    <t>Or you could run that charger each day until the batteries were back at full charge (an hour or so).</t>
  </si>
  <si>
    <t>The solar panels will provide up to 99.9 amp hours of the needed 164.6 amp hours so at the end of the day the batteries are down at least 164.6 - 99.9 = 64.7 amp hours.</t>
  </si>
  <si>
    <t>Added "effective  AH" 2-Dec-22</t>
  </si>
  <si>
    <t>You could safely go 3 days without using the gas engine DC charger but then it would need to run more than 3 hours to bring the batteries back to full charge.</t>
  </si>
  <si>
    <t>In summer, you get 5.3 hours * 27 amps = 143.1 amp hours.  The difference is 164.6 - 143.1 = 21.5 amp hours.  You could safely go 10 sunny days without using the gas</t>
  </si>
  <si>
    <t>were back at full charge (an hour or so).</t>
  </si>
  <si>
    <t>Need 24/48 volt info?  http://www.jecarter.us/files/My-Solar-Generator-Voltage-Set.xls</t>
  </si>
  <si>
    <t>laptop D620 26.4 Word</t>
  </si>
  <si>
    <t>25 Jan 2020</t>
  </si>
  <si>
    <t>engine DC charger but then it would need to run more than 3 hours to bring the batteries back to full charge.  Or you could run that charger every 3 days until the batteries</t>
  </si>
  <si>
    <t>Practical notes</t>
  </si>
  <si>
    <t>I plan to run the inverter power through a relay that is powered by the Load terminals of the charge controller.</t>
  </si>
  <si>
    <t>This will shut off the relay and thuse the inverter when the battery voltage drops to the safe discharge limit.</t>
  </si>
  <si>
    <t>There's a relay with 300 amp contacts for the 2000 watt inverter and it requires 350 ma to operate it.</t>
  </si>
  <si>
    <t>Uverse fone inet 14</t>
  </si>
  <si>
    <t xml:space="preserve"> mine tested: handles that load</t>
  </si>
  <si>
    <t>The relay for the 500 watt inverter has 50 amp contacts and it requires 160 (?) ma to operate it.</t>
  </si>
  <si>
    <t xml:space="preserve"> &lt;= battery amp hours</t>
  </si>
  <si>
    <t>Batt WH</t>
  </si>
  <si>
    <t xml:space="preserve">1250WH in 24 hours, w/overnight setback.  Furnace ran 17 times for about 11 minutes each time (3.5hr total), so average of 73.5WH per run. </t>
  </si>
  <si>
    <t>panels facing SW</t>
  </si>
  <si>
    <t>about 5 1/2 hours each day (in summer, less in winter).</t>
  </si>
  <si>
    <t xml:space="preserve">are low to prevent excessive discharge.  </t>
  </si>
  <si>
    <t>This arrangement is insurance that the high load of the inverters will be removed from the batteries when they</t>
  </si>
  <si>
    <t>to 0.86 amps.</t>
  </si>
  <si>
    <t>solar W</t>
  </si>
  <si>
    <t>real W</t>
  </si>
  <si>
    <t>real A</t>
  </si>
  <si>
    <t>"real W" is based on the</t>
  </si>
  <si>
    <t>(factory test) ratings.</t>
  </si>
  <si>
    <t>conservative and closer</t>
  </si>
  <si>
    <t>to what you will have</t>
  </si>
  <si>
    <t>in the real world.</t>
  </si>
  <si>
    <t>These ratings are more</t>
  </si>
  <si>
    <t>See '*@@ below</t>
  </si>
  <si>
    <t>*@@  In days of testing</t>
  </si>
  <si>
    <t>in May (peak solar month)</t>
  </si>
  <si>
    <t>the highest power from 4</t>
  </si>
  <si>
    <t>100 watt panels was 306</t>
  </si>
  <si>
    <t>watts, which is 76.5% of</t>
  </si>
  <si>
    <t xml:space="preserve">Enter the device name, Watts </t>
  </si>
  <si>
    <t>and Hours used per day in left columns.</t>
  </si>
  <si>
    <t>12 Volt System</t>
  </si>
  <si>
    <t>devices and the small fridge in place of the</t>
  </si>
  <si>
    <t>big fridge.</t>
  </si>
  <si>
    <t>the STC rating.  If having</t>
  </si>
  <si>
    <t>power to pump water is</t>
  </si>
  <si>
    <t>sol A</t>
  </si>
  <si>
    <t>important, you should</t>
  </si>
  <si>
    <t>design your system using</t>
  </si>
  <si>
    <t>PTC test ratings which are</t>
  </si>
  <si>
    <t>typically 88% of the STC</t>
  </si>
  <si>
    <t>the lower numbers.</t>
  </si>
  <si>
    <t>Minimum battery AH</t>
  </si>
  <si>
    <t>If there is sun, the</t>
  </si>
  <si>
    <t>solar output will lower</t>
  </si>
  <si>
    <t>the generator hours</t>
  </si>
  <si>
    <t>needed.</t>
  </si>
  <si>
    <t>Winter days with sun example</t>
  </si>
  <si>
    <t>sun (55A NOCT).</t>
  </si>
  <si>
    <t>I don't plan to load them that much, but it's nice to have the option.</t>
  </si>
  <si>
    <t>give 27 amps for 20 hours.  You don't discharge batteries below 50%</t>
  </si>
  <si>
    <t>1500W</t>
  </si>
  <si>
    <t>The 20 hour rating is 84 or 90 AH (4.3 or 4.5A for 20 hours) so 6 batteries</t>
  </si>
  <si>
    <t>84 or 90AH</t>
  </si>
  <si>
    <t>at 20 hours.</t>
  </si>
  <si>
    <t>DataSafe</t>
  </si>
  <si>
    <t>says 82 at</t>
  </si>
  <si>
    <t>8 hours, 84</t>
  </si>
  <si>
    <t>Other</t>
  </si>
  <si>
    <t>suppliers</t>
  </si>
  <si>
    <t>have 90AH</t>
  </si>
  <si>
    <t xml:space="preserve">&lt;= I expect my generator to be used only a few </t>
  </si>
  <si>
    <t xml:space="preserve">hours/month.  The batteries will likely die from old </t>
  </si>
  <si>
    <t xml:space="preserve">age before they reach an appreciable number of </t>
  </si>
  <si>
    <t>cycles.  Like many other projects, this is a learning</t>
  </si>
  <si>
    <t>Need to move instructions to top and add Effective AH (battery + external AH) cell to sheet below current battery AH cell.</t>
  </si>
  <si>
    <t>"Needed battery AH" limits discharge to O16 DOD for period.  AGM, deep cycle max is 80% in true emergency: "doing surgery".</t>
  </si>
  <si>
    <t>experience for me.  I'm investing time and money in</t>
  </si>
  <si>
    <t>education.  Having power available if there is a long-</t>
  </si>
  <si>
    <t>term grid outage is a bonus.</t>
  </si>
  <si>
    <t>*****</t>
  </si>
  <si>
    <t>A January test run for 5 days, 13 hours used 3135WH</t>
  </si>
  <si>
    <t>That's an average of 23.57W 24/7 in January.</t>
  </si>
  <si>
    <t xml:space="preserve">My design is a real solar generator or a "long run UPS" that can power a few items overnight so I'm not setting up a </t>
  </si>
  <si>
    <t>(84A for 420AH).</t>
  </si>
  <si>
    <t>2 batteries at a</t>
  </si>
  <si>
    <t>rate after a large</t>
  </si>
  <si>
    <t>1700W would give</t>
  </si>
  <si>
    <t>85A NOCT.</t>
  </si>
  <si>
    <t xml:space="preserve">generator in a storm or in the dark.  Items with a value in "AC Watts" are being powered.  Adding more "goodies" </t>
  </si>
  <si>
    <t xml:space="preserve">reduces the hours you will have power - the battery charge is finite ;-)  The solar panels can deliver XX watts for as </t>
  </si>
  <si>
    <t xml:space="preserve">Enter the device name, Watts and </t>
  </si>
  <si>
    <t xml:space="preserve">many hours as they have adequate sun (winter average is 3.4 hr/day).  400W solar provides 27 amps for 3.4 hours or </t>
  </si>
  <si>
    <t>Maximum (Running)</t>
  </si>
  <si>
    <t>$$$$ Fridge OK 6-10 hoursunopened.</t>
  </si>
  <si>
    <t>Freezer OK 16-24 hours unopened.</t>
  </si>
  <si>
    <t>next sheet for max/peak</t>
  </si>
  <si>
    <t xml:space="preserve">92AH (winter) or 5.3 * 27 = 143AH (summer).  Green items 24 hour load is 269AH  269 - 100 = 169 AH that is not </t>
  </si>
  <si>
    <t xml:space="preserve">replaced and nothing is replaced if it's cloudy.  Plan to have no more than 1 day of power, unless you trim the usage. </t>
  </si>
  <si>
    <t xml:space="preserve">900W of solar would keep up with the daily "green" usage on winter sun (small fridge), but 1700 Watts adds a day. **  </t>
  </si>
  <si>
    <t>Amps/hours using MPPT.</t>
  </si>
  <si>
    <t>power after inverter started.</t>
  </si>
  <si>
    <t>Need time reference of when item X starts using</t>
  </si>
  <si>
    <t>Need time reference of when solar panels start</t>
  </si>
  <si>
    <t>producing power after inverter started.</t>
  </si>
  <si>
    <t>Need both to know how long until battery shuts</t>
  </si>
  <si>
    <t>down or generator is needed.</t>
  </si>
  <si>
    <t>Summer days with sun example</t>
  </si>
  <si>
    <t>available charge AH</t>
  </si>
  <si>
    <t>Limit the devices to just those in green</t>
  </si>
  <si>
    <t>hours to recharge - green if OK, yellow if needed hours greater than daily full sun hours</t>
  </si>
  <si>
    <t>if the inverter's rated load or the battery bank's 50% DOD AH is exceeded.  Yellow</t>
  </si>
  <si>
    <t>in recharge time cells if time is greater than 3.7 hours (winter sun hours) or 5.3 (summer).</t>
  </si>
  <si>
    <t>current for three 100 watt panels in series.</t>
  </si>
  <si>
    <t>security DVR 20  ##</t>
  </si>
  <si>
    <t>4 IP Cameras 20 ##</t>
  </si>
  <si>
    <t>IP cameras?</t>
  </si>
  <si>
    <t>Keep  router.</t>
  </si>
  <si>
    <t xml:space="preserve">## If you use IP cameras for security, you need a router to talk to them and a computer (or security DVR) to alert on motion.  20W DVR, 20W  for 4 cameras, </t>
  </si>
  <si>
    <t>Running just the security items in winter, you need 1600 watts solar to catch up 2 days of no sun in 1 sunny day, 2300 watts for 3 days of no sun - or a generator.</t>
  </si>
  <si>
    <t>You only get that much time with 1080AH of battery bank.  My base 540AH battery bank would last a little more than one day.</t>
  </si>
  <si>
    <t xml:space="preserve">hours generator to recharge each </t>
  </si>
  <si>
    <t>16W router = 56W total or 5.1 amps*24 hours = 122.4AH  Or use 25W laptop for 61 W total 6.85 amps or 164.4AH/day,using the 500 W inverter.  Security is expensive in terms of power.</t>
  </si>
  <si>
    <t>Adding the relays raises the idle load of the 2000 watt inverter to 1.55 amps aqnd that of the 500 watt inverter</t>
  </si>
  <si>
    <t>Note that most solar panels are rated "STC" (Standard Test Conditioms) which specifies illumination of 1000 lumens/sq mtr (not likely).</t>
  </si>
  <si>
    <t>A more reasonable rating is the NOCT (Nominal Operating Cell Temperature) which specifies 800 lumens/sq mtr (more likely most places)</t>
  </si>
  <si>
    <t>If you want to get the expected power from a solar array, use the NOCT rating.  If your panels don't specify the NOCT rating, multiply the STC rating by 0.726.</t>
  </si>
  <si>
    <t>73.5WH / 12.6 = 5.83AH but the inverter is drawing 45A for the minutes at 485W which makes the effective load higher.</t>
  </si>
  <si>
    <t>freezer 81 *</t>
  </si>
  <si>
    <t>That makes a "400 watt" solar array into a 290 watt array in the real world.  The best output from four 100 watt panels (a 400 watt array) at my location</t>
  </si>
  <si>
    <t>is 302 watts, which is in line with the 290 watts the 0.726 arithmetic provides.</t>
  </si>
  <si>
    <t>http://solartechonline.com/wp-content/uploads/NewEdge-CS6P-PX_en.pdf</t>
  </si>
  <si>
    <t>For the actual STC versus NOCT ratings difference of some real panels, see the Canadian Solar brochure here:</t>
  </si>
  <si>
    <t>NOCT</t>
  </si>
  <si>
    <t>STC is factory test conditions</t>
  </si>
  <si>
    <t>"test" not real world</t>
  </si>
  <si>
    <t>NOCT is more realistic</t>
  </si>
  <si>
    <t>test conditions</t>
  </si>
  <si>
    <t>STC</t>
  </si>
  <si>
    <t>scanner</t>
  </si>
  <si>
    <t>lights</t>
  </si>
  <si>
    <t>cell phone charger</t>
  </si>
  <si>
    <t>See '*@@ on previous page</t>
  </si>
  <si>
    <t>rated W</t>
  </si>
  <si>
    <t>rate A</t>
  </si>
  <si>
    <t>repl 2019: two 110AH, two 100AH $320</t>
  </si>
  <si>
    <t>The defaults on this sheet are at the 20% discharge level for a 208AH battery bank.  This will provide long and reliable service of the batteries used.</t>
  </si>
  <si>
    <t>Less than 20 hour battery power might work for</t>
  </si>
  <si>
    <t>Note that 100 watts of solar (a frequent starting system size) can NOT recharge that much use in one day's availablke sun (summer or winter).</t>
  </si>
  <si>
    <t>1 day</t>
  </si>
  <si>
    <t>That needs at least 160 watts of solar in the summer and 260 watts of solar in the winter.</t>
  </si>
  <si>
    <t xml:space="preserve"> &lt;= sun+bat+alt days winter</t>
  </si>
  <si>
    <t xml:space="preserve"> &lt;= sun+bat+alt hours winter</t>
  </si>
  <si>
    <t xml:space="preserve"> &lt;= sun+bat+alt days summer</t>
  </si>
  <si>
    <t xml:space="preserve"> &lt;= sun+bat+alt hours summer</t>
  </si>
  <si>
    <t xml:space="preserve"> &lt;= rated (% DOD) days (bat+alt AH)</t>
  </si>
  <si>
    <t xml:space="preserve"> &lt;= rated (% DOD) hours (bat+alt AH)</t>
  </si>
  <si>
    <t>daily high + low and divide that number by 2.</t>
  </si>
  <si>
    <t xml:space="preserve">  My use is "Wait until daylight".  Your need is different. **</t>
  </si>
  <si>
    <t>**</t>
  </si>
  <si>
    <t>In that event, the big power use would be for the small fridge (4.4 cu ft, 55 watts) with lighting being</t>
  </si>
  <si>
    <t>the next use and connuications (ham, CB) possibly being a major item.</t>
  </si>
  <si>
    <t>All this is figured into the available power based on batteryAH and solar panel wattage.</t>
  </si>
  <si>
    <t>Remember that this was built by an old retired guy on a fixed income, so there were limits</t>
  </si>
  <si>
    <t xml:space="preserve">on the amount of money available at any given time.  I would very much like to have 3 times the </t>
  </si>
  <si>
    <t>battery capacity but I didn't have 3 times the money when the used batteries became available.</t>
  </si>
  <si>
    <t>min.</t>
  </si>
  <si>
    <t>Three times as many batteries would also mean 3 times as many interconnect cables, plus additional cables</t>
  </si>
  <si>
    <t>Enter the device name, Watts and</t>
  </si>
  <si>
    <t>Hours used per day in left columns.</t>
  </si>
  <si>
    <t>AH/Hr</t>
  </si>
  <si>
    <t>See Charging With Load page for info.</t>
  </si>
  <si>
    <r>
      <t xml:space="preserve">Enter your </t>
    </r>
    <r>
      <rPr>
        <b/>
        <sz val="10"/>
        <color indexed="10"/>
        <rFont val="Arial"/>
        <family val="2"/>
      </rPr>
      <t>12 volt</t>
    </r>
    <r>
      <rPr>
        <b/>
        <sz val="10"/>
        <rFont val="Arial"/>
        <family val="2"/>
      </rPr>
      <t xml:space="preserve"> </t>
    </r>
    <r>
      <rPr>
        <b/>
        <sz val="10"/>
        <color indexed="8"/>
        <rFont val="Arial"/>
        <family val="2"/>
      </rPr>
      <t>power system info</t>
    </r>
  </si>
  <si>
    <t>with no load (idle current).</t>
  </si>
  <si>
    <t>There is another solar panel rating system called NOCT.  It's less optimistic than the "real watts" system as it only expects 73% of the panel's rated power.</t>
  </si>
  <si>
    <t>furnace idle  5 *</t>
  </si>
  <si>
    <t>in the first box with red numbers below.</t>
  </si>
  <si>
    <t>* Need minimum 1500 Watt inverter for fridge, freezer and laser printer.  Need 2000 Watt inverter for garage door.  2000 watt</t>
  </si>
  <si>
    <t>the 560 watt peaks when the defrost heaters are on in both fridge and freezer sections.  59W winter, 76W summer</t>
  </si>
  <si>
    <t xml:space="preserve">## If you use IP cameras for security, you need a router to talk to them and a computer (or security DVR) to alert on motion.  20W DVR, 10W  for 4 cameras, </t>
  </si>
  <si>
    <t>16W router = 46W total or 4.3 amps*24 hours = 102AH  Or use 25W laptop for 51 W total 5.85 amps or 152.4AH/day,using the 500 W inverter.  Security is expensive in terms of power.</t>
  </si>
  <si>
    <t>mine: claimed eff &gt;= 85% - true &lt;= 760W (90% at 300W)</t>
  </si>
  <si>
    <t>safe WH&gt;</t>
  </si>
  <si>
    <t>inverter can run all.  Motor HP determines inverter size needed to handle starting watts.  Furnace load varies during operation:</t>
  </si>
  <si>
    <t>500 Watt PSW inverter is adequate for loads other than fridges, etc.  Large fridge and freezer should be OK for ~8 hours if not opened.</t>
  </si>
  <si>
    <t>In April 2017, 100 Watt solar panels were $100 delivered from several vendors on ebay.  One 300 Watt solar panel is</t>
  </si>
  <si>
    <t>often cheaper than three 100 Watt panels but 100W panels weigh under 20lb each.  300W panels are about 60lb each.</t>
  </si>
  <si>
    <t>lead acid battery: flooded, AGM, gel</t>
  </si>
  <si>
    <t>However, designing your solar system using those figures guarantees that you will get the expected power.  I've done some testing with four 100 watt</t>
  </si>
  <si>
    <t xml:space="preserve">panels and found that the best output I got was 302 watts (sunny afternoon in May).  That's only 75% of the rated power.  </t>
  </si>
  <si>
    <t>Device</t>
  </si>
  <si>
    <t>The default loads would run 2+ days on the 202AH battery bank but would need 325 watts to recharge 2 days of use in the summer and 525 watts to recharge it in the winter (using my solar hours).</t>
  </si>
  <si>
    <t>Good solar design isn't cheap because there are so many factors to consider.</t>
  </si>
  <si>
    <t>Add furnace then garage door to see</t>
  </si>
  <si>
    <t>Peak A</t>
  </si>
  <si>
    <t>on next</t>
  </si>
  <si>
    <t>sheet</t>
  </si>
  <si>
    <t>load AH</t>
  </si>
  <si>
    <t>watt solar days to 50% DOD</t>
  </si>
  <si>
    <t>furnace idle 5</t>
  </si>
  <si>
    <t>of the year.  600W handles it all year.  $$$$</t>
  </si>
  <si>
    <t>Furnace run time (hrs/day) at 20ºF</t>
  </si>
  <si>
    <t>The 20 hour rating is 100 and 110 AH (5.0 or 5.5A for 20 hours) so 4 batteries</t>
  </si>
  <si>
    <t>give 21 amps for 20 hours.  You don't discharge batteries below 50%</t>
  </si>
  <si>
    <t xml:space="preserve">for longer life.  2 batteries * 100AH per battery + 2 batteries * 110 AH = 420AH </t>
  </si>
  <si>
    <t>Min Solar watts</t>
  </si>
  <si>
    <t>&lt;= Max A</t>
  </si>
  <si>
    <t>total which gives 210AH as the maximum safe discharge in this application.</t>
  </si>
  <si>
    <t>You only get that much time with 1080AH of battery bank.  My base 420AH battery bank would last less than one day.</t>
  </si>
  <si>
    <t>in winter, 76W in summer</t>
  </si>
  <si>
    <t>&lt;= Used when solar is primary and located remotely.</t>
  </si>
  <si>
    <t>The original batteries were removed from service in a large UPS at a corporate data center.  Changed out based on age, not wear, and these</t>
  </si>
  <si>
    <t>met the test specs of new batteries.  I found them with a search for "solar" in the "For Sale" section of Craig's List in a nearby city.</t>
  </si>
  <si>
    <t>(Tested with metered battery load tester to 270AH discharge and battery voltage after short rest was in 50% DOD range.)</t>
  </si>
  <si>
    <t>At the time I bought this set, the scrap price was $22 each (for the lead) and the seller was asking $35 each. $210 for 540 AH of</t>
  </si>
  <si>
    <t>Because of their age, they've been replaced by newer batteries (100 and 110AH AGM, 15 months old, under $100 each)</t>
  </si>
  <si>
    <t>No power overnight columns.</t>
  </si>
  <si>
    <t>* Need minimum 1500 Watt inverter for fridge, freezer and laser printer.  Need 2000 Watt inverter for garage door.  2000 watt can run all.</t>
  </si>
  <si>
    <t>but check next sheet for peak power.  Motor HP determines inverter size needed to handle starting watts.  Furnace load varies during operation:</t>
  </si>
  <si>
    <t>In Jul;y 2019, 100 Watt solar panels were $100 delivered from several vendors on ebay.  One 300 Watt solar panel is</t>
  </si>
  <si>
    <t>3.43kwh m²</t>
  </si>
  <si>
    <t>5.09kwh m²</t>
  </si>
  <si>
    <t>3430wh m² on 1.635 m² panel</t>
  </si>
  <si>
    <t>at 15% efficiency = 841wh</t>
  </si>
  <si>
    <t>841/13 = 64.7AH at 13 volts</t>
  </si>
  <si>
    <t>Need some testing in full sun</t>
  </si>
  <si>
    <t>at full load to see what needs</t>
  </si>
  <si>
    <t>changing in this sheet.</t>
  </si>
  <si>
    <t>One person can easily mount 100W panels.  You need at least 2 people to mount 300W panels.  I prefer 250 watt</t>
  </si>
  <si>
    <t>panels for the trade-ffs in size and efficiency.  The 250W Jinko panels deliver 235 watts in backyard sun.</t>
  </si>
  <si>
    <t>charge: amps - current load</t>
  </si>
  <si>
    <t>source A</t>
  </si>
  <si>
    <t>laptop 16 - solar mon</t>
  </si>
  <si>
    <t xml:space="preserve"> &lt;= rated % DOD days (battery only)</t>
  </si>
  <si>
    <t xml:space="preserve"> &lt;= rated % DOD hours (battery only)</t>
  </si>
  <si>
    <t>WINTER SOLAR</t>
  </si>
  <si>
    <t xml:space="preserve">                         Battery Capacity/Rate of Discharge</t>
  </si>
  <si>
    <t xml:space="preserve">                Discharge Hours                                    Usable Capacity</t>
  </si>
  <si>
    <t xml:space="preserve">                     20                                                             100%</t>
  </si>
  <si>
    <t xml:space="preserve">                     10                                                               87%</t>
  </si>
  <si>
    <t xml:space="preserve">                      8                                                                83%</t>
  </si>
  <si>
    <t xml:space="preserve">                      6                                                                75%</t>
  </si>
  <si>
    <t xml:space="preserve">With Alt AH </t>
  </si>
  <si>
    <t xml:space="preserve">                      5                                                                70%</t>
  </si>
  <si>
    <t xml:space="preserve">                      3                                                                60%</t>
  </si>
  <si>
    <t xml:space="preserve">                      2                                                                50%</t>
  </si>
  <si>
    <t xml:space="preserve">                      1                                                                40%</t>
  </si>
  <si>
    <t>Need to update the</t>
  </si>
  <si>
    <t>battery AH with an</t>
  </si>
  <si>
    <t>algorithm that includes</t>
  </si>
  <si>
    <t>these values so the</t>
  </si>
  <si>
    <t>decreased capacity at</t>
  </si>
  <si>
    <t>higher loads will be</t>
  </si>
  <si>
    <t>accounted for.</t>
  </si>
  <si>
    <t>11 Jan 2020</t>
  </si>
  <si>
    <t>If the current draw is at the 10 hour rate, then the run time should be multiplied by 0.87.</t>
  </si>
  <si>
    <t>The base figure would be rated AH / 20 and then adjust for the actual amps being drawn.</t>
  </si>
  <si>
    <t>The reverse is also true but the increase in useful AH at lower loads is not as significant.</t>
  </si>
  <si>
    <t>If you don't use the CB or VHF on a given day, the 100 watt panel would work for one day's recharge in summer but you would need at least 150 watts in the winter.</t>
  </si>
  <si>
    <t>Always plan for as much power as you can budget.  The real world of the initial investment in small solar power can be the equivalent of a month or two of your power bill.</t>
  </si>
  <si>
    <t>freezer 58avg 86/214</t>
  </si>
  <si>
    <t>Inverters draw idle current with no load.</t>
  </si>
  <si>
    <t>Enter idle current in blue cell C18.</t>
  </si>
  <si>
    <t>Solar start time</t>
  </si>
  <si>
    <t>Solar end time</t>
  </si>
  <si>
    <t>Uverse phone inet 14</t>
  </si>
  <si>
    <t>hrs 850W gen to recharge each 24 hrs</t>
  </si>
  <si>
    <t>8h later</t>
  </si>
  <si>
    <t>24h later</t>
  </si>
  <si>
    <t>Remember that clouds and/or rain can last for several days.  What if you have a week of rain?</t>
  </si>
  <si>
    <t>CB  (2amps?)</t>
  </si>
  <si>
    <t>VHF (3 amps?)</t>
  </si>
  <si>
    <t>See previous page for info on homebuilt generator.</t>
  </si>
  <si>
    <t>Spreadsheet assumes 50% Depth of</t>
  </si>
  <si>
    <t>Discharge (DOD).  To be updated.</t>
  </si>
  <si>
    <t>See previous page for DC generator.  If you can get the parts to build one, the default level of power would only require running the gen for an hour a day or 2 hours every other day</t>
  </si>
  <si>
    <t>to maintain this power level.  If the CB and VHF are off, that could be an hour every other day.  A gen running for an hour every other day would be less noticed than one running many hours.</t>
  </si>
  <si>
    <t>panel watts</t>
  </si>
  <si>
    <t>ctrlr watts</t>
  </si>
  <si>
    <t>ratio</t>
  </si>
  <si>
    <t xml:space="preserve"> watts of panels on each controller.</t>
  </si>
  <si>
    <t>NOCT solar power</t>
  </si>
  <si>
    <t xml:space="preserve">Using 30A (390W) MPPT charge controllers with </t>
  </si>
  <si>
    <t>time (~55A) with</t>
  </si>
  <si>
    <t>watts in via MPPT:</t>
  </si>
  <si>
    <t>More solar output than controller output means you</t>
  </si>
  <si>
    <t>have the max controller output for more hours of</t>
  </si>
  <si>
    <t>each day.</t>
  </si>
  <si>
    <t>Need to rework this sheet with two sets of STC, Real Power and NOCT.  Need rows for summer and winter in each set and the two sets for comparing different size solar arrays.</t>
  </si>
  <si>
    <t>recharge winter (3.17 hours sun)</t>
  </si>
  <si>
    <t>NREL</t>
  </si>
  <si>
    <t>AH</t>
  </si>
  <si>
    <t>% discharge</t>
  </si>
  <si>
    <t>recharge AH</t>
  </si>
  <si>
    <t xml:space="preserve"> used+15%</t>
  </si>
  <si>
    <t>cells with numbers</t>
  </si>
  <si>
    <t>blank or text cells</t>
  </si>
  <si>
    <t xml:space="preserve"> &lt;= Do not change</t>
  </si>
  <si>
    <t>salmon here indicates usage</t>
  </si>
  <si>
    <t>greater than battery capacity</t>
  </si>
  <si>
    <t>Don't know the 24 hour average?  Add the typical daily high + low and divide that number by 2.</t>
  </si>
  <si>
    <t>&lt;= Solar panel watts</t>
  </si>
  <si>
    <t>If battery capacity is greater than one day and solar</t>
  </si>
  <si>
    <t>power available is at least twice the daily AH used</t>
  </si>
  <si>
    <t>previous day's usage in one sunny day.  This is only</t>
  </si>
  <si>
    <t>one day of autonomy.  If the second day is NOT sunny,</t>
  </si>
  <si>
    <t>you need to drop some load to make the day on available</t>
  </si>
  <si>
    <t xml:space="preserve"> Need rows for summer and winter in each set and the two sets for comparing different size solar arrays.</t>
  </si>
  <si>
    <t>Need to rework this sheet with two sets of STC, Real Power and NOCT.</t>
  </si>
  <si>
    <t>Summer days with sun example =&gt;</t>
  </si>
  <si>
    <t>A waterwheel driven DC generator or alternator</t>
  </si>
  <si>
    <t>Plug that in and see how your numbers change.</t>
  </si>
  <si>
    <t>providing 10 amps continuously is 240AH/day.</t>
  </si>
  <si>
    <t>hours to recharge - green if OK, yellow if need more hours than daily full sun hours</t>
  </si>
  <si>
    <t>12v outside LED 0.82</t>
  </si>
  <si>
    <t>furnace blower 460 *</t>
  </si>
  <si>
    <t>furnace idle 5w *</t>
  </si>
  <si>
    <t>Testing on 20 Feb 2021 works out to 3.2 hours of useful sun: 800WH from 250W panel = 800/250 = 3.2hr</t>
  </si>
  <si>
    <t>420AH battery bank at 82% charge when solar power connected and subjected to intermittent 35-40A loads</t>
  </si>
  <si>
    <t>For the full set of listed items, the needed solar</t>
  </si>
  <si>
    <t xml:space="preserve"> power is 4000 watts in winter.</t>
  </si>
  <si>
    <t>Hours this item used per day</t>
  </si>
  <si>
    <t>I59 value used in other processing.  Do not change or remove.</t>
  </si>
  <si>
    <t>Overnight</t>
  </si>
  <si>
    <t>full ~3A, 1/2 pow 1.5A</t>
  </si>
  <si>
    <t>one day of autonomy.  If the second day is NOT sunny, you need to drop some load to make the day on available</t>
  </si>
  <si>
    <t>battery power or  you will need to use a generator to power items and recharge batteries.</t>
  </si>
  <si>
    <t>For the full set of listed items, the needed solar power is 4000 watts in winter.</t>
  </si>
  <si>
    <t>If battery capacity is greater than one day and solar power available is at least twice the daily AH used (for 50% DOD)</t>
  </si>
  <si>
    <t>the system can power items on green lines and recharge the previous day's usage in one sunny day.  This is only</t>
  </si>
  <si>
    <t>OK = no gen needed</t>
  </si>
  <si>
    <t>would keep battery charged for next 8-16 hours.</t>
  </si>
  <si>
    <t>(2) 250W solar panels, (4) 100W solar panels</t>
  </si>
  <si>
    <t>(2) 30 Amp MPPT controllers [EPEver Tracer 3210A ebay]</t>
  </si>
  <si>
    <t>In the Minimum battery AH row, the background color will be salmon =&gt;</t>
  </si>
  <si>
    <t xml:space="preserve">      power supplies for testing</t>
  </si>
  <si>
    <t>This will shut off the relay and thus the inverter when the battery voltage drops to the safe discharge limit.</t>
  </si>
  <si>
    <t>Note that the listed watts are mostly hourly averages.  In the real world, there will be times when all the devices are at their maximum ratings.</t>
  </si>
  <si>
    <t>Fridge/ freezer with both defrost heaters running</t>
  </si>
  <si>
    <r>
      <t xml:space="preserve">phone + inet 14 </t>
    </r>
    <r>
      <rPr>
        <b/>
        <sz val="10"/>
        <rFont val="Arial"/>
        <family val="2"/>
      </rPr>
      <t>@@@</t>
    </r>
  </si>
  <si>
    <t>1200Wµwave 1750w</t>
  </si>
  <si>
    <t>laptop D630 16</t>
  </si>
  <si>
    <t>Freezer in defrost</t>
  </si>
  <si>
    <t>Furnace</t>
  </si>
  <si>
    <t>Kitchen lights</t>
  </si>
  <si>
    <t>To Do for TOD</t>
  </si>
  <si>
    <t>Phone/tablet charging</t>
  </si>
  <si>
    <t>Total</t>
  </si>
  <si>
    <t>That's almost 70% of the inverter's rated capacity.  There's a reason I drop the TV and DVR when on battery power.</t>
  </si>
  <si>
    <t>The relay for the 500 watt inverter has 50 amp contacts and it requires ~160 ma to operate it.</t>
  </si>
  <si>
    <t>There's a relay with 200 amp contacts for the 2000 watt inverter and it requires 350 ma to operate it.</t>
  </si>
  <si>
    <t>Adding the relays raises the idle load of the 2000 watt inverter to 1.55 amps and that of the 500 watt inverter</t>
  </si>
  <si>
    <t>=TODAY()</t>
  </si>
  <si>
    <t>=NOW()</t>
  </si>
  <si>
    <t>36 volt 10 amp charger (two 36v 5a supplies + case)  This means there could be 760 watts of charging</t>
  </si>
  <si>
    <t>from commercial power or a gas generator using two MPPT controllers.</t>
  </si>
  <si>
    <t>Total for a serious solar generator.  (About $0.55/WH for 3240WH to 50%DoD.)</t>
  </si>
  <si>
    <t>Needed battery AH to limit discharge to DOD in O16 for period listed.  AGM, deep cycle max is 80% in true emergency, not "it's dark".</t>
  </si>
  <si>
    <t>However, see the "NOCT with max" page to see how quickly the</t>
  </si>
  <si>
    <t>hidden power needs can exceed the capacity of an inverter.</t>
  </si>
  <si>
    <t>I know what's needed and can manage with a 2000 watt inverter.</t>
  </si>
  <si>
    <t>If you're not paying attention to the actual loads, you may need 4000 watts.</t>
  </si>
  <si>
    <t>Total for a serious solar generator.  (About $0.55/WH for 3240WH to 50% DoD.)</t>
  </si>
  <si>
    <t xml:space="preserve"> &lt;= days on battery to 50% DOD </t>
  </si>
  <si>
    <t xml:space="preserve"> &lt;= hours on battery to 50% DOD</t>
  </si>
  <si>
    <t xml:space="preserve"> &lt;= days on battery to 50% DOD</t>
  </si>
  <si>
    <t>Battery AH for 50% DOD</t>
  </si>
  <si>
    <t>array size = daily WH / sun hours / 0.67 (one day's power)</t>
  </si>
  <si>
    <t>bws</t>
  </si>
  <si>
    <t>WH</t>
  </si>
  <si>
    <t xml:space="preserve">HF Ham xcvr 250 </t>
  </si>
  <si>
    <t>If hours are yellow, more than</t>
  </si>
  <si>
    <t>DC Amp Hours /Day</t>
  </si>
  <si>
    <t>home network 16  ##</t>
  </si>
  <si>
    <t>Dec</t>
  </si>
  <si>
    <t>Check link above for</t>
  </si>
  <si>
    <t>dvr 20</t>
  </si>
  <si>
    <t>Then remove Uverse (phone/TV) and get</t>
  </si>
  <si>
    <t>24 more hours of small fridge + lights.</t>
  </si>
  <si>
    <t>400W solar can handle that about 6 months</t>
  </si>
  <si>
    <t>of the year.  600W handles it all year.</t>
  </si>
  <si>
    <t>Default is "wait until daylight" backup with</t>
  </si>
  <si>
    <t>Plan on less than 1 day of power, unless you trim the usage.  Limit the items to just those in green and see the difference.</t>
  </si>
  <si>
    <t>hours generator use to recharge</t>
  </si>
  <si>
    <t>24 hour power at this level ****</t>
  </si>
  <si>
    <t xml:space="preserve">900 Watts of solar would keep up with the daily "green" usage on average or less winter sun, but 1200 Watts adds a day. **  </t>
  </si>
  <si>
    <t>500 W PSW inverter [ebay] adequate for green items (except fridge) plus TV and internet. Half the idle power</t>
  </si>
  <si>
    <t>Plan less than 1 day of power, unless you trim the usage.  Limit the items to just those in green and see the difference.</t>
  </si>
  <si>
    <t>500 W PSW inverter [ebay] adequate for green items (exceot fridge) plus TV and internet. Half the idle power</t>
  </si>
  <si>
    <t>almost normal power.  Limit the devices to</t>
  </si>
  <si>
    <t xml:space="preserve"> just those in green.  You get 1+ day use of </t>
  </si>
  <si>
    <t xml:space="preserve">essential things.  Or 2.5 days of those </t>
  </si>
  <si>
    <t>devices and the small</t>
  </si>
  <si>
    <t xml:space="preserve"> fridge (delete 59 from </t>
  </si>
  <si>
    <t>B3 and add 55 in B2).  900W solar</t>
  </si>
  <si>
    <t>keeps up with that load all year.</t>
  </si>
  <si>
    <t>&lt;= your inverter idle current</t>
  </si>
  <si>
    <t>recharge (used AH+15% for AGM)</t>
  </si>
  <si>
    <t>inverter rated watts below efficiency.</t>
  </si>
  <si>
    <t xml:space="preserve">  1220AH LiFePO4, 80% DOD in future?</t>
  </si>
  <si>
    <t xml:space="preserve">  My interest is longest battery life &amp; runtime, so</t>
  </si>
  <si>
    <t xml:space="preserve">  Enter solar watts in N19.</t>
  </si>
  <si>
    <t>two 2000 W PSW inverters [ebay] needed to run fridge, freezer, laser printer, garage door opener (active and spare)</t>
  </si>
  <si>
    <t>day wh</t>
  </si>
  <si>
    <t>500 watt PSW inverter [ebay] Can't run the fridge or freezer but can handle network and charging laptop, cell phones</t>
  </si>
  <si>
    <t>(series)</t>
  </si>
  <si>
    <t>Irrad</t>
  </si>
  <si>
    <t>%%%</t>
  </si>
  <si>
    <t>%#</t>
  </si>
  <si>
    <t>Irrad is from the solar irradiance page at</t>
  </si>
  <si>
    <t>Phoenix, AZ</t>
  </si>
  <si>
    <t>Divide watts used per day by watts of device to get hours.  The daily watts of the 4.4 cubic foot dorm fridge</t>
  </si>
  <si>
    <t>are low because it is new, better insulated and more efficient than the smaller fridge it replaced and it runs</t>
  </si>
  <si>
    <t>about 5 1/2 hours each day.</t>
  </si>
  <si>
    <t>Note that the average watts of the 28 cu ft fridge are about the same but that's a 24 hour average which includes</t>
  </si>
  <si>
    <t>This should have an "hours used" input with an "hours to charge"</t>
  </si>
  <si>
    <t>Last update:</t>
  </si>
  <si>
    <t>power that inverter so there will be light and</t>
  </si>
  <si>
    <t>charging after fridge, freezer, etc. shut down.</t>
  </si>
  <si>
    <t>column for each level of solar power.</t>
  </si>
  <si>
    <t>recharge w/gen on</t>
  </si>
  <si>
    <t>400W, 360W, 80W</t>
  </si>
  <si>
    <t>via MPPT, MPPT, PWM</t>
  </si>
  <si>
    <t>salmon here is usage &gt; than battery capacity</t>
  </si>
  <si>
    <t>DC AH / Day</t>
  </si>
  <si>
    <t>&lt;== Do not change</t>
  </si>
  <si>
    <t>&lt;== or erase.</t>
  </si>
  <si>
    <t>runtime &gt; 24 hours</t>
  </si>
  <si>
    <t>claimed eff &gt;= 85% - true &lt;= 760W</t>
  </si>
  <si>
    <t>power at this level ****</t>
  </si>
  <si>
    <t>Daily alt AH</t>
  </si>
  <si>
    <t>If there is sun, the solar output will lower</t>
  </si>
  <si>
    <t>the generator hours needed. ****</t>
  </si>
  <si>
    <t>22 Mar 2018 - 250W panel reached 235 watts or 92% of rated power.  Need to test the other panel under same conditions</t>
  </si>
  <si>
    <t>Same for the 100W panels.</t>
  </si>
  <si>
    <t>salmon here is gen</t>
  </si>
  <si>
    <t>AH/hr</t>
  </si>
  <si>
    <t>hr chg/hr use</t>
  </si>
  <si>
    <t>8 hrs</t>
  </si>
  <si>
    <t>12 hrs</t>
  </si>
  <si>
    <t>16 hrs</t>
  </si>
  <si>
    <t>twice the daily AH used, the system can power listed items and recharge</t>
  </si>
  <si>
    <t>need to drop some load to make the day on avalable battery power or</t>
  </si>
  <si>
    <t>If battery capacity is greater than one day and solar power available is at least</t>
  </si>
  <si>
    <t>the previous day's usage in one sunny day.</t>
  </si>
  <si>
    <t>you will need use a generator to power items and recharge batteries.</t>
  </si>
  <si>
    <t xml:space="preserve">This is only one day of autonomy.  If the second day is NOT sunny, </t>
  </si>
  <si>
    <t>For the full set of listed items, the needed</t>
  </si>
  <si>
    <t>solar power is 4000 watts in winter.</t>
  </si>
  <si>
    <t>2 days</t>
  </si>
  <si>
    <t>3 days</t>
  </si>
  <si>
    <t>Limit the devices to those in green.  You get most of a day</t>
  </si>
  <si>
    <t>4 days</t>
  </si>
  <si>
    <t>$600 more than 900W</t>
  </si>
  <si>
    <t>$900 more than 900W</t>
  </si>
  <si>
    <t>** 28 cu ft fridge 62 day (2 month) run of 1493 hrs</t>
  </si>
  <si>
    <t>freezer 57 avg  88/214</t>
  </si>
  <si>
    <t>Need to remove 12 hour</t>
  </si>
  <si>
    <t>and 16 hour columns.</t>
  </si>
  <si>
    <t>Need to add Alt AH</t>
  </si>
  <si>
    <t>and other things from</t>
  </si>
  <si>
    <t>Charging with load</t>
  </si>
  <si>
    <t>Need to add "delay" column</t>
  </si>
  <si>
    <t>Need to do some math checking</t>
  </si>
  <si>
    <t xml:space="preserve"> - errors fond in Charging with Load</t>
  </si>
  <si>
    <t>Total energy usage of 87.71kWH -</t>
  </si>
  <si>
    <t>watts per hour so average of 59W</t>
  </si>
  <si>
    <t>↓ ↓  ↓  ↓</t>
  </si>
  <si>
    <t>the 560 watt peaks when the defrost heaters are on in both fridge and freezer sections.  59W winter, 65W summer</t>
  </si>
  <si>
    <t>"test", not real world.</t>
  </si>
  <si>
    <t>testing conditions.</t>
  </si>
  <si>
    <t>Change S190 to =S39*1.5 and S191 to =S41*1.5 for 600 watts of panels on single 30 amp MPPT comtroller.  You get 30 amps for more hours.</t>
  </si>
  <si>
    <t>recharge AH (used + 15%)</t>
  </si>
  <si>
    <t>Battery AH for 20% DOD (24 hours)</t>
  </si>
  <si>
    <t>Battery AH for 20% DOD  (8 hours)</t>
  </si>
  <si>
    <t>Battery AH for 20% DOD (12 hours)</t>
  </si>
  <si>
    <t>"Wait until daylight" but not for longer outages.</t>
  </si>
  <si>
    <t>Here's what the orange warnings are about.</t>
  </si>
  <si>
    <t>You need battery power to cover dark hours.</t>
  </si>
  <si>
    <t>How many dark hours do you have?  January?</t>
  </si>
  <si>
    <t>July?  Rain, snow, thunderstorms?  If no power</t>
  </si>
  <si>
    <t>at 7PM, do you have power until full sun?</t>
  </si>
  <si>
    <t>can't provide at least 24 hours of power.</t>
  </si>
  <si>
    <t>Battery AH for 20% DOD (16 hours)</t>
  </si>
  <si>
    <t>Battery AH for 20% DOD (2 days)</t>
  </si>
  <si>
    <t>Battery AH for 20% DOD (3 days)</t>
  </si>
  <si>
    <t>Battery AH for 20% DOD (4 days)</t>
  </si>
  <si>
    <t xml:space="preserve"> &lt;= days on battery to 20% DOD </t>
  </si>
  <si>
    <t xml:space="preserve"> &lt;= hours on battery to 20% DOD</t>
  </si>
  <si>
    <t>Battery AH for 20% DOD</t>
  </si>
  <si>
    <t>28 cu ft fridge 59w/76s</t>
  </si>
  <si>
    <t>home network 16</t>
  </si>
  <si>
    <t>4 IP Cameras 20</t>
  </si>
  <si>
    <t>security DVR 20</t>
  </si>
  <si>
    <t>5000 BTU A/C 427w *</t>
  </si>
  <si>
    <t>5000 BTU A/C 427 *</t>
  </si>
  <si>
    <t>28 cu ft fridge 59w/76s *</t>
  </si>
  <si>
    <t xml:space="preserve">  change Q to use R160?</t>
  </si>
  <si>
    <t xml:space="preserve">  change Q to use R162?</t>
  </si>
  <si>
    <t>Battery AH for 50% DOD  (G2 hours)</t>
  </si>
  <si>
    <t>Battery AH for 50% DOD (M2 days)</t>
  </si>
  <si>
    <t>(G2 hrs)</t>
  </si>
  <si>
    <t>Variable Hours, Days</t>
  </si>
  <si>
    <t>G2 hrs</t>
  </si>
  <si>
    <t>Possibly have freezer on timer so it only runs a few</t>
  </si>
  <si>
    <t>(2-4) hours a day?  Test to see how quickly the internal</t>
  </si>
  <si>
    <t>temperature rises when power is off but door stays</t>
  </si>
  <si>
    <t>closed.</t>
  </si>
  <si>
    <t>days</t>
  </si>
  <si>
    <t>Using a small inverter generator (1600/2000 watts) that can run 8 hours at half load (800 watts) on 1 gallon of gasoline</t>
  </si>
  <si>
    <t>Irrad 41º</t>
  </si>
  <si>
    <t xml:space="preserve">  change Q to use R161?</t>
  </si>
  <si>
    <t xml:space="preserve"> chgr W</t>
  </si>
  <si>
    <t xml:space="preserve">  change Q to use R163?</t>
  </si>
  <si>
    <t>U161?</t>
  </si>
  <si>
    <t>U?163</t>
  </si>
  <si>
    <t>&gt; 80% DOD</t>
  </si>
  <si>
    <t>(101A for 504AH).</t>
  </si>
  <si>
    <t>Another option for "Minimum Configuration" would be to run the 2000 watt inverter for perhaps 16 hours/day to power the small fridge</t>
  </si>
  <si>
    <t>IP Cameras 4*2.5 ##</t>
  </si>
  <si>
    <t>G2 hours</t>
  </si>
  <si>
    <t>12 hours</t>
  </si>
  <si>
    <t>16 hours</t>
  </si>
  <si>
    <t>24 hours</t>
  </si>
  <si>
    <t>M2 days</t>
  </si>
  <si>
    <t>DC Amps  (12 V)</t>
  </si>
  <si>
    <t>Hours per day</t>
  </si>
  <si>
    <t>DC AH/Day</t>
  </si>
  <si>
    <t>gas oven igniter 192w</t>
  </si>
  <si>
    <t>Needed battery AH to limit discharge to 50% DOD for period listed.  Absolute max is 80% in true emergency, not just "it's dark".</t>
  </si>
  <si>
    <t>(2) 30 Amp MPPT controllers [EPEver Tracer 3210A ebay], (1) 40 Amp MPPT [Tracer 4210A]</t>
  </si>
  <si>
    <t>GS-100). [Higher since China trade tariffs.]</t>
  </si>
  <si>
    <t>In the Maximums on row 32 and below, the background will be salmon =&gt;</t>
  </si>
  <si>
    <t>11-15, 2021 97:25hr</t>
  </si>
  <si>
    <t>Change the values in cells Q161 and Q163 to your numbers.</t>
  </si>
  <si>
    <t>With the original settings for my use no TV or DVR), the battery bank will handle 22.7 hours).</t>
  </si>
  <si>
    <t>Turn off the big TV (zero in cell B12) and the cable box / DVR (zero in cell B8).</t>
  </si>
  <si>
    <t>The recharge amp hours for one day's usage  is 327.8 (cell J34).</t>
  </si>
  <si>
    <t>The solar panels will provide up to 99.9 amp hours of the needed 327.8 amp hours so at the end of the day the batteries are down at least 327.8 - 99.9 = 227.9 amp hours.</t>
  </si>
  <si>
    <t>You could safely go 16 hours without using the gas engine DC charger but then it would need to run more than 3 hours to bring the batteries back to full charge.</t>
  </si>
  <si>
    <t>Or you could increase the solar panels to match the usage (my choice)</t>
  </si>
  <si>
    <t xml:space="preserve">In summer, you get 5.3 hours * 27 amps = 143.1 amp hours.  The difference is 327.8 - 143.1 = 184.7 amp hours.  You </t>
  </si>
  <si>
    <t>still only get a little over a day until charge is needed.</t>
  </si>
  <si>
    <t>You also have 2+ days of autonomy - not needing sun or generator until the third day - but daily recharge extends battery life.</t>
  </si>
  <si>
    <t>This assumes no charging during battery use.</t>
  </si>
  <si>
    <t>See ChargingWithLoad page for more info.</t>
  </si>
  <si>
    <t>&lt;= inverter idle current</t>
  </si>
  <si>
    <t xml:space="preserve">but use the 500 watt inverter to power the phone during the hours the 2000 watt inverter was off.  The idle power for the 500 watt inverter is </t>
  </si>
  <si>
    <t>counter outlets and have lowest LVD relay</t>
  </si>
  <si>
    <t>about half the idle power of the 2000 watt inverter.  Perhaps only have the internet equipment on for 4 hours a day?</t>
  </si>
  <si>
    <t>this configuration could provide power for a long time on no more than 1 quart of gasoline a day - no gasoline at all if</t>
  </si>
  <si>
    <t>This is my house and heating</t>
  </si>
  <si>
    <t>system.  Perhaps a starting point for you?</t>
  </si>
  <si>
    <t xml:space="preserve">if you have 2 hours or more of useful sun every day. </t>
  </si>
  <si>
    <t>Solar ONLY</t>
  </si>
  <si>
    <t xml:space="preserve">to 1.5 quarts for 2 days with no sun and only needing a little over an hour of useful sun each day to keep the batteries charged.  </t>
  </si>
  <si>
    <t>AH limit is</t>
  </si>
  <si>
    <t>If there is no telephone, internet or cable, you are at the 20% DOD that means long battery life and the fuel needed improves</t>
  </si>
  <si>
    <t>Check the sheet titled "Minimum Configuration" for a something appropriate for a very long outage, using 1520 watts of solar and 540AH of battery.</t>
  </si>
  <si>
    <t>If you were living in circumstances that required being in the minimum configuration, you would probably not have easy access to replacement batteries.</t>
  </si>
  <si>
    <t>Appliance</t>
  </si>
  <si>
    <t>AC Watts</t>
  </si>
  <si>
    <t>Maximum</t>
  </si>
  <si>
    <t>Amp Hours /Day</t>
  </si>
  <si>
    <t>inverter idle current</t>
  </si>
  <si>
    <t>Hours used per day</t>
  </si>
  <si>
    <t>n/a</t>
  </si>
  <si>
    <t>Used WH</t>
  </si>
  <si>
    <t xml:space="preserve"> &lt;==WH</t>
  </si>
  <si>
    <t>8" fan 23W L 30W H#</t>
  </si>
  <si>
    <t>used AH (less solar)</t>
  </si>
  <si>
    <t>daily AH batt used</t>
  </si>
  <si>
    <t>from laptop to wireless printer(s) . If cell phone service is up, could be using that for internet access.</t>
  </si>
  <si>
    <t>On that basis, power for Uverse router (phone, internet, TV) not needed nor for local network unless printing</t>
  </si>
  <si>
    <t># if using gas logs &amp; kero heat</t>
  </si>
  <si>
    <t>Note that this is my choice of items to power until the storm passes or until daylight.  Your list will probably not be the same.</t>
  </si>
  <si>
    <t xml:space="preserve">I'm using relatively inexpensive inverters because I'm not running </t>
  </si>
  <si>
    <t xml:space="preserve">The 500 watt PSW inverter can run a 500 watt halogen work light, </t>
  </si>
  <si>
    <t>&lt;= link in M145</t>
  </si>
  <si>
    <t>** The three 100 Watt solar panels have an optimum output of 5.5 amps</t>
  </si>
  <si>
    <t>at 17.5 or 18 volts, depending on manufacturer.  Connected in series,</t>
  </si>
  <si>
    <t>the same amount of power but at the battery voltage.  Four 100 Watt</t>
  </si>
  <si>
    <t>1200 Watts of panels would deliver 16.4 amps at 72 volts to the MPPT</t>
  </si>
  <si>
    <t>1200 watts of panels would support running the large fridge OR the freezer</t>
  </si>
  <si>
    <t>inkjet printing 19</t>
  </si>
  <si>
    <t>laser printing 495 *</t>
  </si>
  <si>
    <t>them continuously at their rated capacity.</t>
  </si>
  <si>
    <r>
      <t xml:space="preserve">in the boxes with </t>
    </r>
    <r>
      <rPr>
        <b/>
        <sz val="10"/>
        <color indexed="10"/>
        <rFont val="Arial"/>
        <family val="2"/>
      </rPr>
      <t>red</t>
    </r>
    <r>
      <rPr>
        <b/>
        <sz val="10"/>
        <rFont val="Arial"/>
        <family val="2"/>
      </rPr>
      <t xml:space="preserve"> numbers below.</t>
    </r>
  </si>
  <si>
    <t>(10.25 amps for 8 hours) so 6 batteries = max of 61.5 amps for 8 hours</t>
  </si>
  <si>
    <t>27 amps for 20 hours.  You don't discharge batteries below 50%</t>
  </si>
  <si>
    <t>for longer life.  6 batteries * 90AH per battery = 540AH total which gives</t>
  </si>
  <si>
    <r>
      <t>28f</t>
    </r>
    <r>
      <rPr>
        <sz val="10"/>
        <rFont val="Arial"/>
        <family val="2"/>
      </rPr>
      <t>³</t>
    </r>
    <r>
      <rPr>
        <sz val="10"/>
        <rFont val="Arial"/>
        <family val="0"/>
      </rPr>
      <t xml:space="preserve"> fridge 59w/76s</t>
    </r>
  </si>
  <si>
    <t>the panels deliver 5.5 amps at 53 volts to the MPPT controller which</t>
  </si>
  <si>
    <t>(but not both) for 24 hours if you got 6 hours of useful sun each day.</t>
  </si>
  <si>
    <t>You could have some refrigeration in the summer.  Using an efficient</t>
  </si>
  <si>
    <t>Don't know the 24 hour average?  Add the typical</t>
  </si>
  <si>
    <t>Change cell S47 to your winter</t>
  </si>
  <si>
    <t>hours and S48 to your summer</t>
  </si>
  <si>
    <t>allow some refrigeration year round.</t>
  </si>
  <si>
    <t>(but expensive at $850 for 35 quart capacity) Engel AC/DC fridge would</t>
  </si>
  <si>
    <t>cable box / dvr 20</t>
  </si>
  <si>
    <t>50" tv 100</t>
  </si>
  <si>
    <t>Uverse phone tv 14</t>
  </si>
  <si>
    <t>wifi + wired 16</t>
  </si>
  <si>
    <t>used AH</t>
  </si>
  <si>
    <t>The 20 hour rating is 90 AH (4.5 amps for 20 hours) so 6 batteries give</t>
  </si>
  <si>
    <t xml:space="preserve">Three 100 watt panels in series give 5.5 amps </t>
  </si>
  <si>
    <t>voltage (nominal 12 volts), getting a higher</t>
  </si>
  <si>
    <t>the efficiency of the conversion.  So 5.5 amps</t>
  </si>
  <si>
    <t>output current at the lower voltage.  Battery varies</t>
  </si>
  <si>
    <t>from 12 to 14 volts during charging, so I'll use 13.</t>
  </si>
  <si>
    <t>gives 20.1 amps as the maximum charge</t>
  </si>
  <si>
    <t>min of 1.5d</t>
  </si>
  <si>
    <t>The 400 watt example has four 100 watt panels</t>
  </si>
  <si>
    <t>in series, giving 5.5 amps at 71 volts.  71/13 =</t>
  </si>
  <si>
    <t>5.46 conversion factor.  Multiptying as before,</t>
  </si>
  <si>
    <t>5.46 * 5.5 amps * 0.9 = 27 amps</t>
  </si>
  <si>
    <t>***Solar Computations</t>
  </si>
  <si>
    <t>does power conversion to produce 13 volts at about 20.1 amps - roughly</t>
  </si>
  <si>
    <t>DCV/A/W mon 0.065a</t>
  </si>
  <si>
    <t>panels would deliver 5.5 amps at 71 volts or about 27 amps at battery</t>
  </si>
  <si>
    <t>controller which would be converted to 82 amps at battery voltage - you</t>
  </si>
  <si>
    <t xml:space="preserve">need a much bigger MPPT controller for this.  82 amps for 3.5 hours </t>
  </si>
  <si>
    <t>would be 287 AH - more than the minimum configuration needs to</t>
  </si>
  <si>
    <t>hrs</t>
  </si>
  <si>
    <t>recharge time w/engine alternator</t>
  </si>
  <si>
    <t xml:space="preserve"> &lt;= 50% DOD days on battery</t>
  </si>
  <si>
    <t xml:space="preserve"> &lt;= your battery amp hours</t>
  </si>
  <si>
    <t>cell phone charger 8</t>
  </si>
  <si>
    <t>You get 2+ days use of "essential" things.</t>
  </si>
  <si>
    <t>diesel heater ##</t>
  </si>
  <si>
    <t xml:space="preserve">## 10A for start and </t>
  </si>
  <si>
    <t>shutdown (3-5 min)</t>
  </si>
  <si>
    <t>heating varies w/load</t>
  </si>
  <si>
    <t xml:space="preserve">full ~3A, </t>
  </si>
  <si>
    <t>1/2 power ~1.5A</t>
  </si>
  <si>
    <t xml:space="preserve">   avg hourly amps</t>
  </si>
  <si>
    <t xml:space="preserve"> &lt;= 50% DOD hours on battery</t>
  </si>
  <si>
    <t>your item</t>
  </si>
  <si>
    <t>Pure Sine Wave (PSW) inverters are</t>
  </si>
  <si>
    <t>lead acid battery</t>
  </si>
  <si>
    <t>DOD</t>
  </si>
  <si>
    <t># cycles</t>
  </si>
  <si>
    <t>years @</t>
  </si>
  <si>
    <t>1 cycle/day</t>
  </si>
  <si>
    <t xml:space="preserve"> &lt;= hours winter</t>
  </si>
  <si>
    <t xml:space="preserve"> &lt;= days summer</t>
  </si>
  <si>
    <t xml:space="preserve"> &lt;= days winter</t>
  </si>
  <si>
    <t xml:space="preserve"> &lt;= hours summer</t>
  </si>
  <si>
    <t>watts of solar panels</t>
  </si>
  <si>
    <t>The batteries will likely die from old age before they reach</t>
  </si>
  <si>
    <t>You only get that much time with 1080AH of battery bank.  My base 504AH battery bank would last a little more than one day.</t>
  </si>
  <si>
    <t xml:space="preserve"> &lt;=NOCT</t>
  </si>
  <si>
    <t xml:space="preserve"> &lt;=STC</t>
  </si>
  <si>
    <t>Solar power shows for one or more days.  You could have 16 hours without sun.               Appliance</t>
  </si>
  <si>
    <t>for longer life.  6 batteries * 84AH per battery = 504AH total which gives</t>
  </si>
  <si>
    <t>252AH as the maximum safe discharge in this application.</t>
  </si>
  <si>
    <t>Different</t>
  </si>
  <si>
    <t>recharge time</t>
  </si>
  <si>
    <r>
      <t>28 ft</t>
    </r>
    <r>
      <rPr>
        <sz val="10"/>
        <rFont val="Arial"/>
        <family val="2"/>
      </rPr>
      <t>³</t>
    </r>
    <r>
      <rPr>
        <sz val="10"/>
        <rFont val="Arial"/>
        <family val="0"/>
      </rPr>
      <t xml:space="preserve"> fridge 59w/76s *</t>
    </r>
  </si>
  <si>
    <t>sources</t>
  </si>
  <si>
    <t>list the</t>
  </si>
  <si>
    <t>battery as</t>
  </si>
  <si>
    <t>Because of their age, I'm now using the 84AH rating, although the 270AH test showed them to still be 90AH 2 years ago.</t>
  </si>
  <si>
    <t>Total for a serious solar generator.  (About $0.83/WH for 3240WH to 50%DoD, $0.52WH for 5184WH to 80% DoD.)</t>
  </si>
  <si>
    <t>(Revised for aging batteries, $0.89/WH for 3024WH to 50%, $0.55WH for 4840WH to 80% but has 2 years' use)</t>
  </si>
  <si>
    <t>In a long term grid-down event, the likelihood of telephone, internet and cable TV service is slim.</t>
  </si>
  <si>
    <t>for connections between shelves of batteries (9 per shelf) and additional circuit breakers (one per shelf).</t>
  </si>
  <si>
    <t>an appreciable number of cycles.  Like many other projects,</t>
  </si>
  <si>
    <t>and money in education.  Having power available if there is</t>
  </si>
  <si>
    <t>a long-term grid outage is a bonus.</t>
  </si>
  <si>
    <t>50" tv 50-150 89</t>
  </si>
  <si>
    <t xml:space="preserve"> &lt;= your maximum % DOD</t>
  </si>
  <si>
    <t>Battery AH for % DOD</t>
  </si>
  <si>
    <r>
      <t xml:space="preserve">the boxes with </t>
    </r>
    <r>
      <rPr>
        <b/>
        <sz val="10"/>
        <color indexed="10"/>
        <rFont val="Arial"/>
        <family val="2"/>
      </rPr>
      <t>red</t>
    </r>
    <r>
      <rPr>
        <b/>
        <sz val="10"/>
        <rFont val="Arial"/>
        <family val="2"/>
      </rPr>
      <t xml:space="preserve"> numbers below.</t>
    </r>
  </si>
  <si>
    <r>
      <t xml:space="preserve">Enter your </t>
    </r>
    <r>
      <rPr>
        <b/>
        <sz val="10"/>
        <color indexed="10"/>
        <rFont val="Arial"/>
        <family val="2"/>
      </rPr>
      <t>12 volt</t>
    </r>
    <r>
      <rPr>
        <b/>
        <sz val="10"/>
        <rFont val="Arial"/>
        <family val="2"/>
      </rPr>
      <t xml:space="preserve"> </t>
    </r>
    <r>
      <rPr>
        <b/>
        <sz val="10"/>
        <color indexed="8"/>
        <rFont val="Arial"/>
        <family val="2"/>
      </rPr>
      <t>power system information in</t>
    </r>
  </si>
  <si>
    <t>80-90% efficient.  Using 80% lessens optimism</t>
  </si>
  <si>
    <t>Pure Sine Wave (PSW) inverters are typically</t>
  </si>
  <si>
    <t>## RV heater 10A for</t>
  </si>
  <si>
    <t>startup &amp; shutdown.</t>
  </si>
  <si>
    <t xml:space="preserve">Power for heating </t>
  </si>
  <si>
    <t>varies w/load  &amp; temp.</t>
  </si>
  <si>
    <t xml:space="preserve"> &lt;= avg hourly DC AH for day</t>
  </si>
  <si>
    <t>has no sun, power will run out that day.</t>
  </si>
  <si>
    <t xml:space="preserve"> mine: 90% 300W;89% 440W, 85% 760W - test at higher wattages</t>
  </si>
  <si>
    <t xml:space="preserve">  I limit the discharge to the "10 years" level.</t>
  </si>
  <si>
    <t xml:space="preserve"> Some TOD lights</t>
  </si>
  <si>
    <t xml:space="preserve"> might be in use</t>
  </si>
  <si>
    <t xml:space="preserve"> during daylight hours</t>
  </si>
  <si>
    <t xml:space="preserve"> because of placement</t>
  </si>
  <si>
    <t xml:space="preserve"> or need.</t>
  </si>
  <si>
    <t>2 hr on, 2 hr off.  Makes avg power 29 watts.</t>
  </si>
  <si>
    <t>Assume fridge, freezer use different power in un-</t>
  </si>
  <si>
    <t xml:space="preserve"> TOD &amp; delay controls</t>
  </si>
  <si>
    <t xml:space="preserve"> need On/Off button and</t>
  </si>
  <si>
    <t xml:space="preserve"> color change to show</t>
  </si>
  <si>
    <t xml:space="preserve"> their status.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</si>
</sst>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409]h:mm:ss\ AM/PM"/>
    <numFmt numFmtId="171" formatCode="[$-409]dddd\,\ mmmm\ dd\,\ yyyy"/>
    <numFmt numFmtId="172" formatCode="0.000000000000"/>
    <numFmt numFmtId="173" formatCode="0.00000000000"/>
    <numFmt numFmtId="174" formatCode="[$-409]d\-mmm\-yy;@"/>
    <numFmt numFmtId="175" formatCode="m/d/yy;@"/>
    <numFmt numFmtId="176" formatCode="[$-409]dddd\,\ mmmm\ d\,\ yyyy"/>
    <numFmt numFmtId="177" formatCode="[$-409]d\-mmm\-yyyy;@"/>
    <numFmt numFmtId="178" formatCode="h:mm;@"/>
    <numFmt numFmtId="179" formatCode="m/d;@"/>
    <numFmt numFmtId="180" formatCode="mm/dd/yy;@"/>
    <numFmt numFmtId="181" formatCode="0.00_);[Red]\(0.00\)"/>
    <numFmt numFmtId="182" formatCode="0.00;[Red]0.00"/>
  </numFmts>
  <fonts count="55">
    <font>
      <sz val="10"/>
      <name val="Arial"/>
      <family val="0"/>
    </font>
    <font>
      <b/>
      <sz val="10"/>
      <name val="Arial"/>
      <family val="2"/>
    </font>
    <font>
      <sz val="8"/>
      <name val="Arial"/>
      <family val="0"/>
    </font>
    <font>
      <b/>
      <sz val="10"/>
      <color indexed="10"/>
      <name val="Arial"/>
      <family val="2"/>
    </font>
    <font>
      <b/>
      <sz val="10"/>
      <color indexed="8"/>
      <name val="Arial"/>
      <family val="2"/>
    </font>
    <font>
      <sz val="10"/>
      <color indexed="8"/>
      <name val="Arial"/>
      <family val="0"/>
    </font>
    <font>
      <i/>
      <sz val="10"/>
      <name val="Arial"/>
      <family val="2"/>
    </font>
    <font>
      <b/>
      <sz val="9"/>
      <name val="Arial"/>
      <family val="2"/>
    </font>
    <font>
      <u val="single"/>
      <sz val="10"/>
      <color indexed="12"/>
      <name val="Arial"/>
      <family val="0"/>
    </font>
    <font>
      <u val="single"/>
      <sz val="10"/>
      <color indexed="36"/>
      <name val="Arial"/>
      <family val="0"/>
    </font>
    <font>
      <b/>
      <sz val="10"/>
      <color indexed="15"/>
      <name val="Arial"/>
      <family val="2"/>
    </font>
    <font>
      <sz val="10"/>
      <color indexed="10"/>
      <name val="Arial"/>
      <family val="2"/>
    </font>
    <font>
      <sz val="10"/>
      <color indexed="12"/>
      <name val="Arial"/>
      <family val="0"/>
    </font>
    <font>
      <b/>
      <sz val="10"/>
      <color indexed="12"/>
      <name val="Arial"/>
      <family val="2"/>
    </font>
    <font>
      <b/>
      <sz val="10"/>
      <color indexed="53"/>
      <name val="Arial"/>
      <family val="2"/>
    </font>
    <font>
      <b/>
      <sz val="9"/>
      <color indexed="10"/>
      <name val="Arial"/>
      <family val="2"/>
    </font>
    <font>
      <sz val="10"/>
      <color indexed="48"/>
      <name val="Arial"/>
      <family val="0"/>
    </font>
    <font>
      <b/>
      <sz val="10"/>
      <color indexed="48"/>
      <name val="Arial"/>
      <family val="2"/>
    </font>
    <font>
      <b/>
      <sz val="10"/>
      <color indexed="52"/>
      <name val="Arial"/>
      <family val="2"/>
    </font>
    <font>
      <u val="single"/>
      <sz val="10"/>
      <name val="Arial"/>
      <family val="0"/>
    </font>
    <font>
      <sz val="10"/>
      <color indexed="15"/>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24"/>
        <bgColor indexed="64"/>
      </patternFill>
    </fill>
    <fill>
      <patternFill patternType="solid">
        <fgColor indexed="9"/>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7">
    <xf numFmtId="0" fontId="0" fillId="0" borderId="0" xfId="0" applyAlignment="1">
      <alignment/>
    </xf>
    <xf numFmtId="49" fontId="1" fillId="0" borderId="0" xfId="0" applyNumberFormat="1" applyFont="1" applyAlignment="1">
      <alignment wrapText="1"/>
    </xf>
    <xf numFmtId="2" fontId="0" fillId="0" borderId="0" xfId="0" applyNumberFormat="1" applyAlignment="1">
      <alignment/>
    </xf>
    <xf numFmtId="6" fontId="0" fillId="0" borderId="0" xfId="0" applyNumberFormat="1" applyAlignment="1">
      <alignment/>
    </xf>
    <xf numFmtId="1" fontId="0" fillId="0" borderId="0" xfId="0" applyNumberFormat="1" applyAlignment="1">
      <alignment/>
    </xf>
    <xf numFmtId="164" fontId="1" fillId="0" borderId="0" xfId="0" applyNumberFormat="1" applyFont="1" applyAlignment="1">
      <alignment/>
    </xf>
    <xf numFmtId="49" fontId="1" fillId="0" borderId="0" xfId="0" applyNumberFormat="1" applyFont="1" applyAlignment="1">
      <alignment/>
    </xf>
    <xf numFmtId="2" fontId="1" fillId="0" borderId="0" xfId="0" applyNumberFormat="1" applyFont="1" applyAlignment="1">
      <alignment/>
    </xf>
    <xf numFmtId="0" fontId="1" fillId="0" borderId="0" xfId="0" applyFont="1" applyAlignment="1">
      <alignment/>
    </xf>
    <xf numFmtId="9" fontId="0" fillId="0" borderId="0" xfId="0" applyNumberFormat="1" applyAlignment="1">
      <alignment/>
    </xf>
    <xf numFmtId="164" fontId="0" fillId="0" borderId="0" xfId="0" applyNumberFormat="1" applyAlignment="1">
      <alignment/>
    </xf>
    <xf numFmtId="0" fontId="1" fillId="0" borderId="0" xfId="0" applyFont="1" applyAlignment="1" quotePrefix="1">
      <alignment/>
    </xf>
    <xf numFmtId="49" fontId="4" fillId="0" borderId="0" xfId="0" applyNumberFormat="1" applyFont="1" applyAlignment="1">
      <alignment/>
    </xf>
    <xf numFmtId="1" fontId="3" fillId="0" borderId="0" xfId="0" applyNumberFormat="1" applyFont="1" applyAlignment="1">
      <alignment/>
    </xf>
    <xf numFmtId="2" fontId="5" fillId="33" borderId="0" xfId="0" applyNumberFormat="1" applyFont="1" applyFill="1" applyAlignment="1">
      <alignment/>
    </xf>
    <xf numFmtId="0" fontId="6" fillId="0" borderId="0" xfId="0" applyFont="1" applyAlignment="1">
      <alignment/>
    </xf>
    <xf numFmtId="1" fontId="4" fillId="0" borderId="0" xfId="0" applyNumberFormat="1" applyFont="1" applyAlignment="1">
      <alignment/>
    </xf>
    <xf numFmtId="0" fontId="0" fillId="34" borderId="0" xfId="0" applyFill="1" applyAlignment="1">
      <alignment/>
    </xf>
    <xf numFmtId="49" fontId="7" fillId="0" borderId="0" xfId="0" applyNumberFormat="1" applyFont="1" applyAlignment="1">
      <alignment wrapText="1"/>
    </xf>
    <xf numFmtId="0" fontId="0" fillId="35" borderId="0" xfId="0" applyFill="1" applyAlignment="1">
      <alignment/>
    </xf>
    <xf numFmtId="0" fontId="0" fillId="36" borderId="0" xfId="0" applyFill="1" applyAlignment="1">
      <alignment/>
    </xf>
    <xf numFmtId="0" fontId="8" fillId="0" borderId="0" xfId="53" applyAlignment="1" applyProtection="1">
      <alignment/>
      <protection/>
    </xf>
    <xf numFmtId="49" fontId="0" fillId="0" borderId="0" xfId="0" applyNumberFormat="1" applyAlignment="1">
      <alignment horizontal="right"/>
    </xf>
    <xf numFmtId="0" fontId="0" fillId="0" borderId="0" xfId="0" applyNumberFormat="1" applyAlignment="1">
      <alignment/>
    </xf>
    <xf numFmtId="0" fontId="0" fillId="0" borderId="0" xfId="0" applyAlignment="1" quotePrefix="1">
      <alignment/>
    </xf>
    <xf numFmtId="2" fontId="0" fillId="33" borderId="0" xfId="0" applyNumberFormat="1" applyFill="1" applyAlignment="1">
      <alignment/>
    </xf>
    <xf numFmtId="2" fontId="0" fillId="36" borderId="0" xfId="0" applyNumberFormat="1" applyFill="1" applyAlignment="1">
      <alignment/>
    </xf>
    <xf numFmtId="0" fontId="0" fillId="37" borderId="0" xfId="0" applyFill="1" applyAlignment="1">
      <alignment/>
    </xf>
    <xf numFmtId="0" fontId="0" fillId="37" borderId="0" xfId="0" applyFill="1" applyBorder="1" applyAlignment="1">
      <alignment/>
    </xf>
    <xf numFmtId="0" fontId="0" fillId="0" borderId="0" xfId="0" applyFill="1" applyAlignment="1">
      <alignment/>
    </xf>
    <xf numFmtId="0" fontId="0" fillId="0" borderId="0" xfId="0" applyFill="1" applyBorder="1" applyAlignment="1">
      <alignment/>
    </xf>
    <xf numFmtId="2" fontId="1" fillId="37" borderId="0" xfId="0" applyNumberFormat="1" applyFont="1" applyFill="1" applyAlignment="1">
      <alignment/>
    </xf>
    <xf numFmtId="2" fontId="1" fillId="0" borderId="0" xfId="0" applyNumberFormat="1" applyFont="1" applyAlignment="1">
      <alignment/>
    </xf>
    <xf numFmtId="1" fontId="1" fillId="0" borderId="0" xfId="0" applyNumberFormat="1" applyFont="1" applyAlignment="1">
      <alignment/>
    </xf>
    <xf numFmtId="0" fontId="0" fillId="0" borderId="0" xfId="0" applyAlignment="1">
      <alignment horizontal="right"/>
    </xf>
    <xf numFmtId="0" fontId="0" fillId="38" borderId="0" xfId="0" applyFill="1" applyAlignment="1">
      <alignment/>
    </xf>
    <xf numFmtId="0" fontId="0" fillId="39" borderId="0" xfId="0" applyFill="1" applyAlignment="1">
      <alignment/>
    </xf>
    <xf numFmtId="0" fontId="0" fillId="0" borderId="0" xfId="0" applyBorder="1" applyAlignment="1">
      <alignment/>
    </xf>
    <xf numFmtId="0" fontId="0" fillId="36" borderId="0" xfId="0" applyFill="1" applyBorder="1" applyAlignment="1">
      <alignment/>
    </xf>
    <xf numFmtId="49" fontId="0" fillId="0" borderId="0" xfId="0" applyNumberFormat="1" applyAlignment="1">
      <alignment horizontal="center"/>
    </xf>
    <xf numFmtId="169" fontId="0" fillId="0" borderId="0" xfId="0" applyNumberFormat="1" applyAlignment="1">
      <alignment/>
    </xf>
    <xf numFmtId="164" fontId="0" fillId="0" borderId="0" xfId="0" applyNumberFormat="1" applyAlignment="1" applyProtection="1">
      <alignment/>
      <protection locked="0"/>
    </xf>
    <xf numFmtId="2" fontId="0" fillId="37" borderId="0" xfId="0" applyNumberFormat="1" applyFill="1" applyAlignment="1">
      <alignment/>
    </xf>
    <xf numFmtId="49" fontId="0" fillId="37" borderId="0" xfId="0" applyNumberFormat="1" applyFill="1" applyAlignment="1">
      <alignment horizontal="center"/>
    </xf>
    <xf numFmtId="164" fontId="7" fillId="0" borderId="0" xfId="0" applyNumberFormat="1" applyFont="1" applyAlignment="1">
      <alignment wrapText="1"/>
    </xf>
    <xf numFmtId="164" fontId="0" fillId="0" borderId="0" xfId="0" applyNumberFormat="1" applyAlignment="1">
      <alignment horizontal="center"/>
    </xf>
    <xf numFmtId="0" fontId="0" fillId="0" borderId="0" xfId="0" applyAlignment="1">
      <alignment horizontal="center"/>
    </xf>
    <xf numFmtId="0" fontId="3" fillId="0" borderId="0" xfId="0" applyFont="1" applyFill="1" applyAlignment="1">
      <alignment/>
    </xf>
    <xf numFmtId="0" fontId="0" fillId="0" borderId="0" xfId="0" applyFont="1" applyAlignment="1">
      <alignment/>
    </xf>
    <xf numFmtId="2" fontId="5" fillId="0" borderId="0" xfId="0" applyNumberFormat="1" applyFont="1" applyFill="1" applyAlignment="1">
      <alignment/>
    </xf>
    <xf numFmtId="0" fontId="3" fillId="0" borderId="0" xfId="0" applyFont="1" applyAlignment="1">
      <alignment/>
    </xf>
    <xf numFmtId="0" fontId="11" fillId="0" borderId="0" xfId="0" applyFont="1" applyAlignment="1">
      <alignment/>
    </xf>
    <xf numFmtId="2" fontId="0" fillId="39" borderId="0" xfId="0" applyNumberFormat="1" applyFill="1" applyAlignment="1">
      <alignment/>
    </xf>
    <xf numFmtId="49" fontId="1" fillId="0" borderId="0" xfId="0" applyNumberFormat="1" applyFont="1" applyAlignment="1">
      <alignment horizontal="center"/>
    </xf>
    <xf numFmtId="0" fontId="1" fillId="0" borderId="0" xfId="0" applyFont="1" applyAlignment="1">
      <alignment horizontal="center"/>
    </xf>
    <xf numFmtId="15" fontId="0" fillId="0" borderId="0" xfId="0" applyNumberFormat="1" applyAlignment="1">
      <alignment/>
    </xf>
    <xf numFmtId="0" fontId="1" fillId="0" borderId="0" xfId="0" applyFont="1" applyAlignment="1">
      <alignment horizontal="right"/>
    </xf>
    <xf numFmtId="49" fontId="0" fillId="0" borderId="0" xfId="0" applyNumberFormat="1" applyAlignment="1">
      <alignment/>
    </xf>
    <xf numFmtId="49" fontId="7" fillId="0" borderId="0" xfId="0" applyNumberFormat="1" applyFont="1" applyAlignment="1">
      <alignment/>
    </xf>
    <xf numFmtId="49" fontId="11" fillId="0" borderId="0" xfId="0" applyNumberFormat="1" applyFont="1" applyAlignment="1">
      <alignment/>
    </xf>
    <xf numFmtId="0" fontId="11" fillId="0" borderId="0" xfId="0" applyFont="1" applyAlignment="1">
      <alignment/>
    </xf>
    <xf numFmtId="164" fontId="4" fillId="40" borderId="0" xfId="0" applyNumberFormat="1" applyFont="1" applyFill="1" applyAlignment="1">
      <alignment/>
    </xf>
    <xf numFmtId="0" fontId="3" fillId="33" borderId="0" xfId="0" applyFont="1" applyFill="1" applyAlignment="1">
      <alignment/>
    </xf>
    <xf numFmtId="0" fontId="3" fillId="40" borderId="0" xfId="0" applyFont="1" applyFill="1" applyAlignment="1">
      <alignment/>
    </xf>
    <xf numFmtId="0" fontId="0" fillId="36" borderId="10" xfId="0" applyFill="1" applyBorder="1" applyAlignment="1">
      <alignment/>
    </xf>
    <xf numFmtId="0" fontId="0" fillId="37" borderId="11" xfId="0" applyFill="1" applyBorder="1" applyAlignment="1">
      <alignment/>
    </xf>
    <xf numFmtId="0" fontId="0" fillId="0" borderId="11" xfId="0" applyBorder="1" applyAlignment="1">
      <alignment/>
    </xf>
    <xf numFmtId="0" fontId="0" fillId="37" borderId="12" xfId="0" applyFill="1" applyBorder="1" applyAlignment="1">
      <alignment/>
    </xf>
    <xf numFmtId="49" fontId="0" fillId="0" borderId="0" xfId="0" applyNumberFormat="1" applyFill="1" applyAlignment="1">
      <alignment horizontal="center"/>
    </xf>
    <xf numFmtId="49" fontId="0" fillId="0" borderId="0" xfId="0" applyNumberFormat="1" applyAlignment="1">
      <alignment/>
    </xf>
    <xf numFmtId="1" fontId="3" fillId="0" borderId="0" xfId="0" applyNumberFormat="1" applyFont="1" applyAlignment="1">
      <alignment/>
    </xf>
    <xf numFmtId="1" fontId="1" fillId="0" borderId="0" xfId="0" applyNumberFormat="1" applyFont="1" applyAlignment="1">
      <alignment horizontal="left"/>
    </xf>
    <xf numFmtId="15" fontId="11" fillId="0" borderId="0" xfId="0" applyNumberFormat="1" applyFont="1" applyAlignment="1">
      <alignment/>
    </xf>
    <xf numFmtId="164" fontId="1" fillId="0" borderId="0" xfId="0" applyNumberFormat="1" applyFont="1" applyAlignment="1">
      <alignment/>
    </xf>
    <xf numFmtId="0" fontId="0" fillId="0" borderId="0" xfId="0" applyAlignment="1">
      <alignment horizontal="left"/>
    </xf>
    <xf numFmtId="0" fontId="12" fillId="0" borderId="0" xfId="0" applyFont="1" applyAlignment="1">
      <alignment/>
    </xf>
    <xf numFmtId="0" fontId="13" fillId="0" borderId="0" xfId="0" applyFont="1" applyAlignment="1">
      <alignment/>
    </xf>
    <xf numFmtId="49" fontId="3" fillId="0" borderId="0" xfId="0" applyNumberFormat="1" applyFont="1" applyAlignment="1">
      <alignment/>
    </xf>
    <xf numFmtId="2" fontId="14" fillId="0" borderId="0" xfId="0" applyNumberFormat="1" applyFont="1" applyAlignment="1">
      <alignment/>
    </xf>
    <xf numFmtId="0" fontId="0" fillId="0" borderId="0" xfId="0" applyFont="1" applyAlignment="1">
      <alignment/>
    </xf>
    <xf numFmtId="49" fontId="11" fillId="0" borderId="0" xfId="0" applyNumberFormat="1" applyFont="1" applyAlignment="1">
      <alignment/>
    </xf>
    <xf numFmtId="164" fontId="0" fillId="0" borderId="0" xfId="0" applyNumberFormat="1" applyFill="1" applyAlignment="1">
      <alignment/>
    </xf>
    <xf numFmtId="175" fontId="11" fillId="0" borderId="0" xfId="0" applyNumberFormat="1" applyFont="1" applyAlignment="1">
      <alignment/>
    </xf>
    <xf numFmtId="14" fontId="11" fillId="0" borderId="0" xfId="0" applyNumberFormat="1" applyFont="1" applyAlignment="1">
      <alignment/>
    </xf>
    <xf numFmtId="49" fontId="15" fillId="0" borderId="0" xfId="0" applyNumberFormat="1" applyFont="1" applyAlignment="1">
      <alignment/>
    </xf>
    <xf numFmtId="49" fontId="11" fillId="0" borderId="0" xfId="0" applyNumberFormat="1" applyFont="1" applyAlignment="1">
      <alignment vertical="top"/>
    </xf>
    <xf numFmtId="0" fontId="0" fillId="33" borderId="0" xfId="0" applyFill="1" applyAlignment="1">
      <alignment/>
    </xf>
    <xf numFmtId="0" fontId="16" fillId="0" borderId="0" xfId="0" applyFont="1" applyAlignment="1">
      <alignment/>
    </xf>
    <xf numFmtId="2" fontId="11" fillId="0" borderId="0" xfId="0" applyNumberFormat="1" applyFont="1" applyAlignment="1">
      <alignment/>
    </xf>
    <xf numFmtId="0" fontId="0" fillId="38" borderId="0" xfId="0" applyFill="1" applyAlignment="1">
      <alignment horizontal="center"/>
    </xf>
    <xf numFmtId="0" fontId="17" fillId="0" borderId="0" xfId="0" applyFont="1" applyAlignment="1">
      <alignment/>
    </xf>
    <xf numFmtId="2" fontId="0" fillId="0" borderId="0" xfId="0" applyNumberFormat="1" applyAlignment="1">
      <alignment horizontal="center"/>
    </xf>
    <xf numFmtId="15" fontId="3" fillId="0" borderId="0" xfId="0" applyNumberFormat="1" applyFont="1" applyAlignment="1">
      <alignment wrapText="1"/>
    </xf>
    <xf numFmtId="49" fontId="15" fillId="0" borderId="0" xfId="0" applyNumberFormat="1" applyFont="1" applyAlignment="1">
      <alignment horizontal="center" wrapText="1"/>
    </xf>
    <xf numFmtId="15" fontId="3" fillId="0" borderId="0" xfId="0" applyNumberFormat="1" applyFont="1" applyAlignment="1">
      <alignment/>
    </xf>
    <xf numFmtId="49" fontId="3" fillId="0" borderId="0" xfId="0" applyNumberFormat="1" applyFont="1" applyAlignment="1">
      <alignment horizontal="right"/>
    </xf>
    <xf numFmtId="15" fontId="14" fillId="0" borderId="0" xfId="0" applyNumberFormat="1" applyFont="1" applyAlignment="1">
      <alignment/>
    </xf>
    <xf numFmtId="15" fontId="18" fillId="0" borderId="0" xfId="0" applyNumberFormat="1" applyFont="1" applyAlignment="1">
      <alignment/>
    </xf>
    <xf numFmtId="174" fontId="3" fillId="0" borderId="0" xfId="0" applyNumberFormat="1" applyFont="1" applyAlignment="1">
      <alignment wrapText="1"/>
    </xf>
    <xf numFmtId="49" fontId="7" fillId="37" borderId="0" xfId="0" applyNumberFormat="1" applyFont="1" applyFill="1" applyAlignment="1">
      <alignment wrapText="1"/>
    </xf>
    <xf numFmtId="49" fontId="3" fillId="0" borderId="0" xfId="0" applyNumberFormat="1" applyFont="1" applyAlignment="1">
      <alignment wrapText="1"/>
    </xf>
    <xf numFmtId="177" fontId="11" fillId="0" borderId="0" xfId="0" applyNumberFormat="1" applyFont="1" applyAlignment="1">
      <alignment/>
    </xf>
    <xf numFmtId="178" fontId="3" fillId="0" borderId="0" xfId="0" applyNumberFormat="1" applyFont="1" applyAlignment="1">
      <alignment/>
    </xf>
    <xf numFmtId="180" fontId="3" fillId="0" borderId="0" xfId="0" applyNumberFormat="1" applyFont="1" applyAlignment="1">
      <alignment/>
    </xf>
    <xf numFmtId="0" fontId="0" fillId="40" borderId="0" xfId="0" applyFill="1" applyAlignment="1">
      <alignment/>
    </xf>
    <xf numFmtId="180" fontId="3" fillId="0" borderId="0" xfId="0" applyNumberFormat="1" applyFont="1" applyAlignment="1" quotePrefix="1">
      <alignment/>
    </xf>
    <xf numFmtId="178" fontId="3" fillId="0" borderId="0" xfId="0" applyNumberFormat="1" applyFont="1" applyAlignment="1" quotePrefix="1">
      <alignment/>
    </xf>
    <xf numFmtId="0" fontId="0" fillId="41" borderId="0" xfId="0" applyFill="1" applyAlignment="1">
      <alignment/>
    </xf>
    <xf numFmtId="164" fontId="15" fillId="0" borderId="0" xfId="0" applyNumberFormat="1" applyFont="1" applyAlignment="1">
      <alignment wrapText="1"/>
    </xf>
    <xf numFmtId="181" fontId="0" fillId="0" borderId="0" xfId="0" applyNumberFormat="1" applyAlignment="1">
      <alignment/>
    </xf>
    <xf numFmtId="0" fontId="19" fillId="0" borderId="0" xfId="0" applyFont="1" applyAlignment="1">
      <alignment/>
    </xf>
    <xf numFmtId="14" fontId="0" fillId="0" borderId="0" xfId="0" applyNumberFormat="1" applyAlignment="1">
      <alignment/>
    </xf>
    <xf numFmtId="182" fontId="0" fillId="0" borderId="0" xfId="0" applyNumberFormat="1" applyAlignment="1">
      <alignment/>
    </xf>
    <xf numFmtId="49" fontId="3" fillId="0" borderId="0" xfId="0" applyNumberFormat="1" applyFont="1" applyAlignment="1">
      <alignment horizontal="center"/>
    </xf>
    <xf numFmtId="49" fontId="15" fillId="33" borderId="0" xfId="0" applyNumberFormat="1" applyFont="1" applyFill="1" applyAlignment="1">
      <alignment wrapText="1"/>
    </xf>
    <xf numFmtId="49" fontId="7" fillId="33" borderId="0" xfId="0" applyNumberFormat="1" applyFont="1" applyFill="1" applyAlignment="1">
      <alignment wrapText="1"/>
    </xf>
    <xf numFmtId="0" fontId="2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8">
    <dxf>
      <fill>
        <patternFill>
          <bgColor indexed="27"/>
        </patternFill>
      </fill>
    </dxf>
    <dxf>
      <fill>
        <patternFill>
          <bgColor indexed="27"/>
        </patternFill>
      </fill>
    </dxf>
    <dxf>
      <fill>
        <patternFill>
          <bgColor indexed="41"/>
        </patternFill>
      </fill>
    </dxf>
    <dxf>
      <fill>
        <patternFill>
          <bgColor indexed="10"/>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3"/>
        </patternFill>
      </fill>
    </dxf>
    <dxf>
      <fill>
        <patternFill>
          <bgColor indexed="41"/>
        </patternFill>
      </fill>
    </dxf>
    <dxf>
      <fill>
        <patternFill>
          <fgColor indexed="45"/>
          <bgColor indexed="43"/>
        </patternFill>
      </fill>
    </dxf>
    <dxf>
      <fill>
        <patternFill>
          <bgColor indexed="27"/>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7"/>
        </patternFill>
      </fill>
    </dxf>
    <dxf>
      <fill>
        <patternFill>
          <bgColor indexed="47"/>
        </patternFill>
      </fill>
    </dxf>
    <dxf>
      <fill>
        <patternFill>
          <bgColor indexed="27"/>
        </patternFill>
      </fill>
    </dxf>
    <dxf>
      <fill>
        <patternFill>
          <bgColor indexed="47"/>
        </patternFill>
      </fill>
    </dxf>
    <dxf>
      <fill>
        <patternFill>
          <bgColor indexed="27"/>
        </patternFill>
      </fill>
    </dxf>
    <dxf>
      <fill>
        <patternFill>
          <bgColor indexed="29"/>
        </patternFill>
      </fill>
    </dxf>
    <dxf>
      <fill>
        <patternFill>
          <fgColor indexed="45"/>
          <bgColor indexed="43"/>
        </patternFill>
      </fill>
    </dxf>
    <dxf>
      <fill>
        <patternFill>
          <bgColor indexed="27"/>
        </patternFill>
      </fill>
    </dxf>
    <dxf>
      <fill>
        <patternFill>
          <bgColor indexed="43"/>
        </patternFill>
      </fill>
    </dxf>
    <dxf>
      <fill>
        <patternFill>
          <bgColor indexed="41"/>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7"/>
        </patternFill>
      </fill>
    </dxf>
    <dxf>
      <fill>
        <patternFill>
          <bgColor indexed="47"/>
        </patternFill>
      </fill>
    </dxf>
    <dxf>
      <fill>
        <patternFill>
          <bgColor indexed="27"/>
        </patternFill>
      </fill>
    </dxf>
    <dxf>
      <fill>
        <patternFill>
          <bgColor indexed="47"/>
        </patternFill>
      </fill>
    </dxf>
    <dxf>
      <fill>
        <patternFill>
          <bgColor indexed="27"/>
        </patternFill>
      </fill>
    </dxf>
    <dxf>
      <fill>
        <patternFill>
          <bgColor indexed="41"/>
        </patternFill>
      </fill>
    </dxf>
    <dxf>
      <fill>
        <patternFill>
          <bgColor indexed="47"/>
        </patternFill>
      </fill>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7"/>
        </patternFill>
      </fill>
    </dxf>
    <dxf>
      <fill>
        <patternFill>
          <bgColor indexed="47"/>
        </patternFill>
      </fill>
    </dxf>
    <dxf>
      <fill>
        <patternFill>
          <bgColor indexed="47"/>
        </patternFill>
      </fill>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7"/>
        </patternFill>
      </fill>
    </dxf>
    <dxf>
      <fill>
        <patternFill>
          <bgColor indexed="47"/>
        </patternFill>
      </fill>
    </dxf>
    <dxf>
      <fill>
        <patternFill>
          <bgColor indexed="51"/>
        </patternFill>
      </fill>
    </dxf>
    <dxf>
      <fill>
        <patternFill>
          <bgColor indexed="51"/>
        </patternFill>
      </fill>
    </dxf>
    <dxf>
      <fill>
        <patternFill>
          <bgColor indexed="4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29"/>
        </patternFill>
      </fill>
    </dxf>
    <dxf>
      <fill>
        <patternFill>
          <bgColor indexed="43"/>
        </patternFill>
      </fill>
    </dxf>
    <dxf>
      <fill>
        <patternFill>
          <bgColor indexed="41"/>
        </patternFill>
      </fill>
    </dxf>
    <dxf>
      <fill>
        <patternFill>
          <fgColor indexed="45"/>
          <bgColor indexed="43"/>
        </patternFill>
      </fill>
    </dxf>
    <dxf>
      <fill>
        <patternFill>
          <bgColor indexed="27"/>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2"/>
        </patternFill>
      </fill>
    </dxf>
    <dxf>
      <fill>
        <patternFill>
          <bgColor indexed="47"/>
        </patternFill>
      </fill>
    </dxf>
    <dxf>
      <fill>
        <patternFill>
          <bgColor indexed="10"/>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1"/>
        </patternFill>
      </fill>
    </dxf>
    <dxf>
      <fill>
        <patternFill>
          <fgColor indexed="45"/>
          <bgColor indexed="43"/>
        </patternFill>
      </fill>
    </dxf>
    <dxf>
      <fill>
        <patternFill>
          <bgColor indexed="27"/>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7"/>
        </patternFill>
      </fill>
    </dxf>
    <dxf>
      <fill>
        <patternFill>
          <bgColor indexed="27"/>
        </patternFill>
      </fill>
    </dxf>
    <dxf>
      <fill>
        <patternFill>
          <bgColor indexed="47"/>
        </patternFill>
      </fill>
    </dxf>
    <dxf>
      <fill>
        <patternFill>
          <bgColor indexed="27"/>
        </patternFill>
      </fill>
    </dxf>
    <dxf>
      <fill>
        <patternFill>
          <bgColor indexed="10"/>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3"/>
        </patternFill>
      </fill>
    </dxf>
    <dxf>
      <fill>
        <patternFill>
          <bgColor indexed="41"/>
        </patternFill>
      </fill>
    </dxf>
    <dxf>
      <fill>
        <patternFill>
          <fgColor indexed="45"/>
          <bgColor indexed="43"/>
        </patternFill>
      </fill>
    </dxf>
    <dxf>
      <fill>
        <patternFill>
          <bgColor indexed="27"/>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7"/>
        </patternFill>
      </fill>
    </dxf>
    <dxf>
      <fill>
        <patternFill>
          <bgColor indexed="47"/>
        </patternFill>
      </fill>
    </dxf>
    <dxf>
      <fill>
        <patternFill>
          <bgColor indexed="2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41"/>
        </patternFill>
      </fill>
    </dxf>
    <dxf>
      <fill>
        <patternFill>
          <bgColor indexed="10"/>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3"/>
        </patternFill>
      </fill>
    </dxf>
    <dxf>
      <fill>
        <patternFill>
          <bgColor indexed="41"/>
        </patternFill>
      </fill>
    </dxf>
    <dxf>
      <fill>
        <patternFill>
          <fgColor indexed="45"/>
          <bgColor indexed="43"/>
        </patternFill>
      </fill>
    </dxf>
    <dxf>
      <fill>
        <patternFill>
          <bgColor indexed="27"/>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7"/>
        </patternFill>
      </fill>
    </dxf>
    <dxf>
      <fill>
        <patternFill>
          <bgColor indexed="47"/>
        </patternFill>
      </fill>
    </dxf>
    <dxf>
      <fill>
        <patternFill>
          <bgColor indexed="27"/>
        </patternFill>
      </fill>
    </dxf>
    <dxf>
      <fill>
        <patternFill>
          <bgColor indexed="47"/>
        </patternFill>
      </fill>
    </dxf>
    <dxf>
      <fill>
        <patternFill>
          <bgColor indexed="27"/>
        </patternFill>
      </fill>
    </dxf>
    <dxf>
      <fill>
        <patternFill>
          <bgColor indexed="10"/>
        </patternFill>
      </fill>
    </dxf>
    <dxf>
      <fill>
        <patternFill>
          <bgColor indexed="47"/>
        </patternFill>
      </fill>
    </dxf>
    <dxf>
      <fill>
        <patternFill>
          <bgColor indexed="42"/>
        </patternFill>
      </fill>
    </dxf>
    <dxf>
      <fill>
        <patternFill>
          <bgColor indexed="10"/>
        </patternFill>
      </fill>
    </dxf>
    <dxf>
      <fill>
        <patternFill>
          <bgColor indexed="47"/>
        </patternFill>
      </fill>
    </dxf>
    <dxf>
      <fill>
        <patternFill>
          <bgColor indexed="42"/>
        </patternFill>
      </fill>
    </dxf>
    <dxf>
      <fill>
        <patternFill>
          <bgColor indexed="10"/>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3"/>
        </patternFill>
      </fill>
    </dxf>
    <dxf>
      <fill>
        <patternFill>
          <bgColor indexed="41"/>
        </patternFill>
      </fill>
    </dxf>
    <dxf>
      <fill>
        <patternFill>
          <fgColor indexed="45"/>
          <bgColor indexed="43"/>
        </patternFill>
      </fill>
    </dxf>
    <dxf>
      <fill>
        <patternFill>
          <bgColor indexed="27"/>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27"/>
        </patternFill>
      </fill>
    </dxf>
    <dxf>
      <fill>
        <patternFill>
          <bgColor indexed="47"/>
        </patternFill>
      </fill>
    </dxf>
    <dxf>
      <fill>
        <patternFill>
          <bgColor indexed="27"/>
        </patternFill>
      </fill>
    </dxf>
    <dxf>
      <font>
        <b/>
        <i val="0"/>
        <color indexed="8"/>
      </font>
      <fill>
        <patternFill>
          <bgColor indexed="29"/>
        </patternFill>
      </fill>
    </dxf>
    <dxf>
      <font>
        <color indexed="8"/>
      </font>
      <fill>
        <patternFill>
          <bgColor indexed="10"/>
        </patternFill>
      </fill>
    </dxf>
    <dxf>
      <font>
        <color indexed="52"/>
      </font>
    </dxf>
    <dxf>
      <fill>
        <patternFill>
          <bgColor indexed="27"/>
        </patternFill>
      </fill>
    </dxf>
    <dxf>
      <fill>
        <patternFill>
          <bgColor indexed="27"/>
        </patternFill>
      </fill>
    </dxf>
    <dxf>
      <fill>
        <patternFill>
          <bgColor indexed="41"/>
        </patternFill>
      </fill>
    </dxf>
    <dxf>
      <fill>
        <patternFill>
          <bgColor indexed="10"/>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3"/>
        </patternFill>
      </fill>
    </dxf>
    <dxf>
      <fill>
        <patternFill>
          <bgColor indexed="41"/>
        </patternFill>
      </fill>
    </dxf>
    <dxf>
      <fill>
        <patternFill>
          <fgColor indexed="45"/>
          <bgColor indexed="43"/>
        </patternFill>
      </fill>
    </dxf>
    <dxf>
      <fill>
        <patternFill>
          <bgColor indexed="27"/>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7"/>
        </patternFill>
      </fill>
    </dxf>
    <dxf>
      <fill>
        <patternFill>
          <bgColor indexed="47"/>
        </patternFill>
      </fill>
    </dxf>
    <dxf>
      <fill>
        <patternFill>
          <bgColor indexed="27"/>
        </patternFill>
      </fill>
    </dxf>
    <dxf>
      <fill>
        <patternFill>
          <bgColor indexed="47"/>
        </patternFill>
      </fill>
    </dxf>
    <dxf>
      <fill>
        <patternFill>
          <bgColor indexed="27"/>
        </patternFill>
      </fill>
    </dxf>
    <dxf>
      <fill>
        <patternFill>
          <bgColor indexed="47"/>
        </patternFill>
      </fill>
    </dxf>
    <dxf>
      <fill>
        <patternFill>
          <bgColor indexed="10"/>
        </patternFill>
      </fill>
    </dxf>
    <dxf>
      <fill>
        <patternFill>
          <bgColor indexed="29"/>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1"/>
        </patternFill>
      </fill>
    </dxf>
    <dxf>
      <fill>
        <patternFill>
          <fgColor indexed="45"/>
          <bgColor indexed="43"/>
        </patternFill>
      </fill>
    </dxf>
    <dxf>
      <fill>
        <patternFill>
          <bgColor indexed="27"/>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27"/>
        </patternFill>
      </fill>
    </dxf>
    <dxf>
      <fill>
        <patternFill>
          <bgColor indexed="4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larelectricityhandbook.com/solar-irradiance.aspx"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larelectricityhandbook.com/solar-irradiance.aspx"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larelectricityhandbook.com/solar-irradiance.asp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larelectricityhandbook.com/solar-irradiance.asp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larelectricityhandbook.com/solar-irradiance.aspx"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larelectricityhandbook.com/solar-irradiance.aspx"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244"/>
  <sheetViews>
    <sheetView zoomScalePageLayoutView="0" workbookViewId="0" topLeftCell="A1">
      <pane ySplit="1" topLeftCell="A2" activePane="bottomLeft" state="frozen"/>
      <selection pane="topLeft" activeCell="A1" sqref="A1"/>
      <selection pane="bottomLeft" activeCell="B31" sqref="B31"/>
    </sheetView>
  </sheetViews>
  <sheetFormatPr defaultColWidth="9.140625" defaultRowHeight="12.75"/>
  <cols>
    <col min="1" max="1" width="18.8515625" style="0" customWidth="1"/>
    <col min="2" max="2" width="6.7109375" style="0" customWidth="1"/>
    <col min="3" max="3" width="8.8515625" style="0" customWidth="1"/>
    <col min="4" max="4" width="7.8515625" style="0" customWidth="1"/>
    <col min="5" max="5" width="7.421875" style="0" customWidth="1"/>
    <col min="6" max="6" width="8.00390625" style="0" customWidth="1"/>
    <col min="7" max="7" width="10.8515625" style="0" customWidth="1"/>
    <col min="8" max="8" width="11.140625" style="0" customWidth="1"/>
    <col min="9" max="9" width="10.8515625" style="0" customWidth="1"/>
    <col min="10" max="10" width="11.140625" style="0" customWidth="1"/>
    <col min="11" max="13" width="10.7109375" style="0" customWidth="1"/>
    <col min="14" max="14" width="4.28125" style="0" customWidth="1"/>
    <col min="15" max="15" width="5.57421875" style="0" customWidth="1"/>
    <col min="16" max="16" width="5.421875" style="0" customWidth="1"/>
    <col min="17" max="17" width="8.140625" style="0" customWidth="1"/>
  </cols>
  <sheetData>
    <row r="1" spans="1:19" ht="48">
      <c r="A1" s="18" t="s">
        <v>1078</v>
      </c>
      <c r="B1" s="18" t="s">
        <v>1079</v>
      </c>
      <c r="C1" s="18" t="s">
        <v>369</v>
      </c>
      <c r="D1" s="18" t="s">
        <v>1083</v>
      </c>
      <c r="E1" s="18" t="s">
        <v>890</v>
      </c>
      <c r="F1" s="18" t="s">
        <v>425</v>
      </c>
      <c r="G1" s="18" t="s">
        <v>171</v>
      </c>
      <c r="H1" s="18" t="s">
        <v>172</v>
      </c>
      <c r="I1" s="18" t="s">
        <v>173</v>
      </c>
      <c r="J1" s="18" t="s">
        <v>174</v>
      </c>
      <c r="K1" s="18" t="s">
        <v>175</v>
      </c>
      <c r="L1" s="18" t="s">
        <v>176</v>
      </c>
      <c r="M1" s="18" t="s">
        <v>268</v>
      </c>
      <c r="O1" s="84" t="s">
        <v>559</v>
      </c>
      <c r="S1" s="60" t="s">
        <v>114</v>
      </c>
    </row>
    <row r="2" spans="1:19" ht="12.75">
      <c r="A2" s="20" t="s">
        <v>402</v>
      </c>
      <c r="C2" s="2">
        <f aca="true" t="shared" si="0" ref="C2:C7">B2/($O$16/100)/12</f>
        <v>0</v>
      </c>
      <c r="D2" s="2">
        <v>5.4</v>
      </c>
      <c r="E2" s="2">
        <f>C2*D2</f>
        <v>0</v>
      </c>
      <c r="F2" s="4">
        <f aca="true" t="shared" si="1" ref="F2:F7">(B2*D2)/0.9</f>
        <v>0</v>
      </c>
      <c r="G2" s="2">
        <f aca="true" t="shared" si="2" ref="G2:G25">J2*0.33</f>
        <v>0</v>
      </c>
      <c r="H2" s="2">
        <f aca="true" t="shared" si="3" ref="H2:H25">J2*0.5</f>
        <v>0</v>
      </c>
      <c r="I2" s="2">
        <f aca="true" t="shared" si="4" ref="I2:I25">J2*0.67</f>
        <v>0</v>
      </c>
      <c r="J2" s="2">
        <f aca="true" t="shared" si="5" ref="J2:J25">E2*2</f>
        <v>0</v>
      </c>
      <c r="K2" s="2">
        <f aca="true" t="shared" si="6" ref="K2:K28">J2*2</f>
        <v>0</v>
      </c>
      <c r="L2" s="2">
        <f aca="true" t="shared" si="7" ref="L2:L25">J2*3</f>
        <v>0</v>
      </c>
      <c r="M2" s="2">
        <f aca="true" t="shared" si="8" ref="M2:M25">J2*4</f>
        <v>0</v>
      </c>
      <c r="O2" s="8" t="s">
        <v>557</v>
      </c>
      <c r="S2" s="83">
        <v>44390</v>
      </c>
    </row>
    <row r="3" spans="1:15" ht="12.75">
      <c r="A3" s="27" t="s">
        <v>1014</v>
      </c>
      <c r="B3">
        <v>76</v>
      </c>
      <c r="C3" s="2">
        <f t="shared" si="0"/>
        <v>7.037037037037037</v>
      </c>
      <c r="D3" s="2">
        <v>24</v>
      </c>
      <c r="E3" s="2">
        <f aca="true" t="shared" si="9" ref="E3:E25">C3*D3</f>
        <v>168.88888888888889</v>
      </c>
      <c r="F3" s="4">
        <f t="shared" si="1"/>
        <v>2026.6666666666665</v>
      </c>
      <c r="G3" s="2">
        <f t="shared" si="2"/>
        <v>111.46666666666667</v>
      </c>
      <c r="H3" s="2">
        <f t="shared" si="3"/>
        <v>168.88888888888889</v>
      </c>
      <c r="I3" s="2">
        <f t="shared" si="4"/>
        <v>226.31111111111113</v>
      </c>
      <c r="J3" s="2">
        <f t="shared" si="5"/>
        <v>337.77777777777777</v>
      </c>
      <c r="K3" s="2">
        <f t="shared" si="6"/>
        <v>675.5555555555555</v>
      </c>
      <c r="L3" s="2">
        <f t="shared" si="7"/>
        <v>1013.3333333333333</v>
      </c>
      <c r="M3" s="2">
        <f t="shared" si="8"/>
        <v>1351.111111111111</v>
      </c>
      <c r="O3" s="8" t="s">
        <v>558</v>
      </c>
    </row>
    <row r="4" spans="1:15" ht="12.75">
      <c r="A4" t="s">
        <v>646</v>
      </c>
      <c r="C4" s="2">
        <f t="shared" si="0"/>
        <v>0</v>
      </c>
      <c r="D4" s="2">
        <v>24</v>
      </c>
      <c r="E4" s="2">
        <f t="shared" si="9"/>
        <v>0</v>
      </c>
      <c r="F4" s="4">
        <f t="shared" si="1"/>
        <v>0</v>
      </c>
      <c r="G4" s="2">
        <f t="shared" si="2"/>
        <v>0</v>
      </c>
      <c r="H4" s="2">
        <f t="shared" si="3"/>
        <v>0</v>
      </c>
      <c r="I4" s="2">
        <f t="shared" si="4"/>
        <v>0</v>
      </c>
      <c r="J4" s="2">
        <f t="shared" si="5"/>
        <v>0</v>
      </c>
      <c r="K4" s="2">
        <f t="shared" si="6"/>
        <v>0</v>
      </c>
      <c r="L4" s="2">
        <f t="shared" si="7"/>
        <v>0</v>
      </c>
      <c r="M4" s="2">
        <f t="shared" si="8"/>
        <v>0</v>
      </c>
      <c r="O4" s="8" t="s">
        <v>118</v>
      </c>
    </row>
    <row r="5" spans="1:15" ht="12.75">
      <c r="A5" s="28" t="s">
        <v>1120</v>
      </c>
      <c r="B5">
        <v>14</v>
      </c>
      <c r="C5" s="2">
        <f t="shared" si="0"/>
        <v>1.2962962962962963</v>
      </c>
      <c r="D5" s="2">
        <v>24</v>
      </c>
      <c r="E5" s="2">
        <f t="shared" si="9"/>
        <v>31.11111111111111</v>
      </c>
      <c r="F5" s="4">
        <f t="shared" si="1"/>
        <v>373.3333333333333</v>
      </c>
      <c r="G5" s="2">
        <f t="shared" si="2"/>
        <v>20.533333333333335</v>
      </c>
      <c r="H5" s="2">
        <f t="shared" si="3"/>
        <v>31.11111111111111</v>
      </c>
      <c r="I5" s="2">
        <f t="shared" si="4"/>
        <v>41.68888888888889</v>
      </c>
      <c r="J5" s="2">
        <f t="shared" si="5"/>
        <v>62.22222222222222</v>
      </c>
      <c r="K5" s="2">
        <f t="shared" si="6"/>
        <v>124.44444444444444</v>
      </c>
      <c r="L5" s="2">
        <f t="shared" si="7"/>
        <v>186.66666666666666</v>
      </c>
      <c r="M5" s="2">
        <f t="shared" si="8"/>
        <v>248.88888888888889</v>
      </c>
      <c r="O5" s="8" t="s">
        <v>119</v>
      </c>
    </row>
    <row r="6" spans="1:15" ht="12.75">
      <c r="A6" t="s">
        <v>891</v>
      </c>
      <c r="B6">
        <v>16</v>
      </c>
      <c r="C6" s="2">
        <f t="shared" si="0"/>
        <v>1.4814814814814816</v>
      </c>
      <c r="D6" s="2">
        <v>24</v>
      </c>
      <c r="E6" s="2">
        <f t="shared" si="9"/>
        <v>35.55555555555556</v>
      </c>
      <c r="F6" s="4">
        <f t="shared" si="1"/>
        <v>426.66666666666663</v>
      </c>
      <c r="G6" s="2">
        <f t="shared" si="2"/>
        <v>23.46666666666667</v>
      </c>
      <c r="H6" s="2">
        <f t="shared" si="3"/>
        <v>35.55555555555556</v>
      </c>
      <c r="I6" s="2">
        <f t="shared" si="4"/>
        <v>47.64444444444445</v>
      </c>
      <c r="J6" s="2">
        <f t="shared" si="5"/>
        <v>71.11111111111111</v>
      </c>
      <c r="K6" s="2">
        <f t="shared" si="6"/>
        <v>142.22222222222223</v>
      </c>
      <c r="L6" s="2">
        <f t="shared" si="7"/>
        <v>213.33333333333334</v>
      </c>
      <c r="M6" s="2">
        <f t="shared" si="8"/>
        <v>284.44444444444446</v>
      </c>
      <c r="O6" s="8" t="s">
        <v>1157</v>
      </c>
    </row>
    <row r="7" spans="1:15" ht="12.75">
      <c r="A7" t="s">
        <v>894</v>
      </c>
      <c r="B7">
        <v>20</v>
      </c>
      <c r="C7" s="2">
        <f t="shared" si="0"/>
        <v>1.8518518518518519</v>
      </c>
      <c r="D7" s="2">
        <v>24</v>
      </c>
      <c r="E7" s="2">
        <f t="shared" si="9"/>
        <v>44.44444444444444</v>
      </c>
      <c r="F7" s="4">
        <f t="shared" si="1"/>
        <v>533.3333333333334</v>
      </c>
      <c r="G7" s="2">
        <f t="shared" si="2"/>
        <v>29.333333333333332</v>
      </c>
      <c r="H7" s="2">
        <f t="shared" si="3"/>
        <v>44.44444444444444</v>
      </c>
      <c r="I7" s="2">
        <f t="shared" si="4"/>
        <v>59.55555555555556</v>
      </c>
      <c r="J7" s="2">
        <f t="shared" si="5"/>
        <v>88.88888888888889</v>
      </c>
      <c r="K7" s="2">
        <f t="shared" si="6"/>
        <v>177.77777777777777</v>
      </c>
      <c r="L7" s="2">
        <f t="shared" si="7"/>
        <v>266.66666666666663</v>
      </c>
      <c r="M7" s="2">
        <f t="shared" si="8"/>
        <v>355.55555555555554</v>
      </c>
      <c r="O7" s="8" t="s">
        <v>269</v>
      </c>
    </row>
    <row r="8" spans="1:15" ht="12.75">
      <c r="A8" s="28" t="s">
        <v>424</v>
      </c>
      <c r="B8" t="s">
        <v>1084</v>
      </c>
      <c r="C8" s="14">
        <v>1.2</v>
      </c>
      <c r="D8" s="2">
        <v>24</v>
      </c>
      <c r="E8" s="2">
        <f t="shared" si="9"/>
        <v>28.799999999999997</v>
      </c>
      <c r="F8" s="4">
        <f>E8*12.6</f>
        <v>362.87999999999994</v>
      </c>
      <c r="G8" s="2">
        <f t="shared" si="2"/>
        <v>19.008</v>
      </c>
      <c r="H8" s="2">
        <f t="shared" si="3"/>
        <v>28.799999999999997</v>
      </c>
      <c r="I8" s="2">
        <f t="shared" si="4"/>
        <v>38.592</v>
      </c>
      <c r="J8" s="2">
        <f t="shared" si="5"/>
        <v>57.599999999999994</v>
      </c>
      <c r="K8" s="2">
        <f t="shared" si="6"/>
        <v>115.19999999999999</v>
      </c>
      <c r="L8" s="2">
        <f t="shared" si="7"/>
        <v>172.79999999999998</v>
      </c>
      <c r="M8" s="2">
        <f t="shared" si="8"/>
        <v>230.39999999999998</v>
      </c>
      <c r="O8" s="8" t="s">
        <v>270</v>
      </c>
    </row>
    <row r="9" spans="1:15" ht="12.75">
      <c r="A9" t="s">
        <v>250</v>
      </c>
      <c r="B9" t="s">
        <v>1084</v>
      </c>
      <c r="C9" s="2"/>
      <c r="D9" s="2">
        <v>24</v>
      </c>
      <c r="E9" s="2">
        <f t="shared" si="9"/>
        <v>0</v>
      </c>
      <c r="F9" s="4">
        <f>E9*12.6</f>
        <v>0</v>
      </c>
      <c r="G9" s="2">
        <f t="shared" si="2"/>
        <v>0</v>
      </c>
      <c r="H9" s="2">
        <f t="shared" si="3"/>
        <v>0</v>
      </c>
      <c r="I9" s="2">
        <f t="shared" si="4"/>
        <v>0</v>
      </c>
      <c r="J9" s="2">
        <f t="shared" si="5"/>
        <v>0</v>
      </c>
      <c r="K9" s="2">
        <f t="shared" si="6"/>
        <v>0</v>
      </c>
      <c r="L9" s="2">
        <f t="shared" si="7"/>
        <v>0</v>
      </c>
      <c r="M9" s="2">
        <f t="shared" si="8"/>
        <v>0</v>
      </c>
      <c r="O9" s="8" t="s">
        <v>272</v>
      </c>
    </row>
    <row r="10" spans="1:15" ht="12.75">
      <c r="A10" s="27" t="s">
        <v>64</v>
      </c>
      <c r="B10">
        <v>16</v>
      </c>
      <c r="C10" s="2">
        <f aca="true" t="shared" si="10" ref="C10:C28">B10/($O$16/100)/12</f>
        <v>1.4814814814814816</v>
      </c>
      <c r="D10" s="2">
        <v>4</v>
      </c>
      <c r="E10" s="2">
        <f t="shared" si="9"/>
        <v>5.9259259259259265</v>
      </c>
      <c r="F10" s="4">
        <f aca="true" t="shared" si="11" ref="F10:F25">(B10*D10)/0.9</f>
        <v>71.11111111111111</v>
      </c>
      <c r="G10" s="2">
        <f t="shared" si="2"/>
        <v>3.911111111111112</v>
      </c>
      <c r="H10" s="2">
        <f t="shared" si="3"/>
        <v>5.9259259259259265</v>
      </c>
      <c r="I10" s="2">
        <f t="shared" si="4"/>
        <v>7.9407407407407415</v>
      </c>
      <c r="J10" s="2">
        <f t="shared" si="5"/>
        <v>11.851851851851853</v>
      </c>
      <c r="K10" s="2">
        <f t="shared" si="6"/>
        <v>23.703703703703706</v>
      </c>
      <c r="L10" s="2">
        <f t="shared" si="7"/>
        <v>35.55555555555556</v>
      </c>
      <c r="M10" s="2">
        <f t="shared" si="8"/>
        <v>47.40740740740741</v>
      </c>
      <c r="O10" s="8" t="s">
        <v>273</v>
      </c>
    </row>
    <row r="11" spans="1:15" ht="12.75">
      <c r="A11" t="s">
        <v>1119</v>
      </c>
      <c r="B11">
        <v>100</v>
      </c>
      <c r="C11" s="2">
        <f t="shared" si="10"/>
        <v>9.25925925925926</v>
      </c>
      <c r="D11" s="2">
        <v>4</v>
      </c>
      <c r="E11" s="2">
        <f t="shared" si="9"/>
        <v>37.03703703703704</v>
      </c>
      <c r="F11" s="4">
        <f t="shared" si="11"/>
        <v>444.44444444444446</v>
      </c>
      <c r="G11" s="2">
        <f t="shared" si="2"/>
        <v>24.444444444444446</v>
      </c>
      <c r="H11" s="2">
        <f t="shared" si="3"/>
        <v>37.03703703703704</v>
      </c>
      <c r="I11" s="2">
        <f t="shared" si="4"/>
        <v>49.62962962962963</v>
      </c>
      <c r="J11" s="2">
        <f t="shared" si="5"/>
        <v>74.07407407407408</v>
      </c>
      <c r="K11" s="2">
        <f t="shared" si="6"/>
        <v>148.14814814814815</v>
      </c>
      <c r="L11" s="2">
        <f t="shared" si="7"/>
        <v>222.22222222222223</v>
      </c>
      <c r="M11" s="2">
        <f t="shared" si="8"/>
        <v>296.2962962962963</v>
      </c>
      <c r="O11" s="8" t="s">
        <v>271</v>
      </c>
    </row>
    <row r="12" spans="1:15" ht="12.75">
      <c r="A12" s="27" t="s">
        <v>168</v>
      </c>
      <c r="B12">
        <v>9</v>
      </c>
      <c r="C12" s="2">
        <f t="shared" si="10"/>
        <v>0.8333333333333334</v>
      </c>
      <c r="D12" s="2">
        <v>6</v>
      </c>
      <c r="E12" s="2">
        <f t="shared" si="9"/>
        <v>5</v>
      </c>
      <c r="F12" s="4">
        <f t="shared" si="11"/>
        <v>60</v>
      </c>
      <c r="G12" s="2">
        <f t="shared" si="2"/>
        <v>3.3000000000000003</v>
      </c>
      <c r="H12" s="2">
        <f t="shared" si="3"/>
        <v>5</v>
      </c>
      <c r="I12" s="2">
        <f t="shared" si="4"/>
        <v>6.7</v>
      </c>
      <c r="J12" s="2">
        <f t="shared" si="5"/>
        <v>10</v>
      </c>
      <c r="K12" s="2">
        <f t="shared" si="6"/>
        <v>20</v>
      </c>
      <c r="L12" s="2">
        <f t="shared" si="7"/>
        <v>30</v>
      </c>
      <c r="M12" s="2">
        <f t="shared" si="8"/>
        <v>40</v>
      </c>
      <c r="O12" s="8" t="s">
        <v>276</v>
      </c>
    </row>
    <row r="13" spans="1:15" ht="12.75">
      <c r="A13" s="27" t="s">
        <v>169</v>
      </c>
      <c r="B13">
        <v>1.4</v>
      </c>
      <c r="C13" s="2">
        <f t="shared" si="10"/>
        <v>0.12962962962962962</v>
      </c>
      <c r="D13" s="2">
        <v>24</v>
      </c>
      <c r="E13" s="2">
        <f t="shared" si="9"/>
        <v>3.1111111111111107</v>
      </c>
      <c r="F13" s="4">
        <f t="shared" si="11"/>
        <v>37.33333333333333</v>
      </c>
      <c r="G13" s="2">
        <f t="shared" si="2"/>
        <v>2.0533333333333332</v>
      </c>
      <c r="H13" s="2">
        <f t="shared" si="3"/>
        <v>3.1111111111111107</v>
      </c>
      <c r="I13" s="2">
        <f t="shared" si="4"/>
        <v>4.168888888888889</v>
      </c>
      <c r="J13" s="2">
        <f t="shared" si="5"/>
        <v>6.222222222222221</v>
      </c>
      <c r="K13" s="2">
        <f t="shared" si="6"/>
        <v>12.444444444444443</v>
      </c>
      <c r="L13" s="2">
        <f t="shared" si="7"/>
        <v>18.666666666666664</v>
      </c>
      <c r="M13" s="2">
        <f t="shared" si="8"/>
        <v>24.888888888888886</v>
      </c>
      <c r="O13" s="8" t="s">
        <v>294</v>
      </c>
    </row>
    <row r="14" spans="1:15" ht="12.75">
      <c r="A14" t="s">
        <v>58</v>
      </c>
      <c r="C14" s="2">
        <f t="shared" si="10"/>
        <v>0</v>
      </c>
      <c r="D14" s="2">
        <v>24</v>
      </c>
      <c r="E14" s="2">
        <f t="shared" si="9"/>
        <v>0</v>
      </c>
      <c r="F14" s="4">
        <f t="shared" si="11"/>
        <v>0</v>
      </c>
      <c r="G14" s="2">
        <f t="shared" si="2"/>
        <v>0</v>
      </c>
      <c r="H14" s="2">
        <f t="shared" si="3"/>
        <v>0</v>
      </c>
      <c r="I14" s="2">
        <f t="shared" si="4"/>
        <v>0</v>
      </c>
      <c r="J14" s="2">
        <f t="shared" si="5"/>
        <v>0</v>
      </c>
      <c r="K14" s="2">
        <f t="shared" si="6"/>
        <v>0</v>
      </c>
      <c r="L14" s="2">
        <f t="shared" si="7"/>
        <v>0</v>
      </c>
      <c r="M14" s="2">
        <f t="shared" si="8"/>
        <v>0</v>
      </c>
      <c r="O14" s="8" t="s">
        <v>298</v>
      </c>
    </row>
    <row r="15" spans="1:16" ht="12.75">
      <c r="A15" t="s">
        <v>1102</v>
      </c>
      <c r="C15" s="2">
        <f t="shared" si="10"/>
        <v>0</v>
      </c>
      <c r="D15" s="2">
        <v>0.5</v>
      </c>
      <c r="E15" s="2">
        <f t="shared" si="9"/>
        <v>0</v>
      </c>
      <c r="F15" s="4">
        <f t="shared" si="11"/>
        <v>0</v>
      </c>
      <c r="G15" s="2">
        <f t="shared" si="2"/>
        <v>0</v>
      </c>
      <c r="H15" s="2">
        <f t="shared" si="3"/>
        <v>0</v>
      </c>
      <c r="I15" s="2">
        <f t="shared" si="4"/>
        <v>0</v>
      </c>
      <c r="J15" s="2">
        <f t="shared" si="5"/>
        <v>0</v>
      </c>
      <c r="K15" s="2">
        <f t="shared" si="6"/>
        <v>0</v>
      </c>
      <c r="L15" s="2">
        <f t="shared" si="7"/>
        <v>0</v>
      </c>
      <c r="M15" s="2">
        <f t="shared" si="8"/>
        <v>0</v>
      </c>
      <c r="O15" s="13">
        <v>420</v>
      </c>
      <c r="P15" s="12" t="s">
        <v>1145</v>
      </c>
    </row>
    <row r="16" spans="1:19" ht="12.75">
      <c r="A16" t="s">
        <v>60</v>
      </c>
      <c r="C16" s="2">
        <f t="shared" si="10"/>
        <v>0</v>
      </c>
      <c r="D16" s="2">
        <v>24</v>
      </c>
      <c r="E16" s="2">
        <f t="shared" si="9"/>
        <v>0</v>
      </c>
      <c r="F16" s="4">
        <f t="shared" si="11"/>
        <v>0</v>
      </c>
      <c r="G16" s="2">
        <f t="shared" si="2"/>
        <v>0</v>
      </c>
      <c r="H16" s="2">
        <f t="shared" si="3"/>
        <v>0</v>
      </c>
      <c r="I16" s="2">
        <f t="shared" si="4"/>
        <v>0</v>
      </c>
      <c r="J16" s="2">
        <f t="shared" si="5"/>
        <v>0</v>
      </c>
      <c r="K16" s="2">
        <f t="shared" si="6"/>
        <v>0</v>
      </c>
      <c r="L16" s="2">
        <f t="shared" si="7"/>
        <v>0</v>
      </c>
      <c r="M16" s="2">
        <f t="shared" si="8"/>
        <v>0</v>
      </c>
      <c r="O16" s="16">
        <v>90</v>
      </c>
      <c r="P16" s="12" t="s">
        <v>42</v>
      </c>
      <c r="S16" t="s">
        <v>251</v>
      </c>
    </row>
    <row r="17" spans="1:19" ht="12.75">
      <c r="A17" t="s">
        <v>1103</v>
      </c>
      <c r="C17" s="2">
        <f t="shared" si="10"/>
        <v>0</v>
      </c>
      <c r="D17" s="2">
        <v>0.1</v>
      </c>
      <c r="E17" s="2">
        <f t="shared" si="9"/>
        <v>0</v>
      </c>
      <c r="F17" s="4">
        <f t="shared" si="11"/>
        <v>0</v>
      </c>
      <c r="G17" s="2">
        <f t="shared" si="2"/>
        <v>0</v>
      </c>
      <c r="H17" s="2">
        <f t="shared" si="3"/>
        <v>0</v>
      </c>
      <c r="I17" s="2">
        <f t="shared" si="4"/>
        <v>0</v>
      </c>
      <c r="J17" s="2">
        <f t="shared" si="5"/>
        <v>0</v>
      </c>
      <c r="K17" s="2">
        <f t="shared" si="6"/>
        <v>0</v>
      </c>
      <c r="L17" s="2">
        <f t="shared" si="7"/>
        <v>0</v>
      </c>
      <c r="M17" s="2">
        <f t="shared" si="8"/>
        <v>0</v>
      </c>
      <c r="O17" s="16">
        <v>2000</v>
      </c>
      <c r="P17" s="8" t="s">
        <v>177</v>
      </c>
      <c r="S17" t="s">
        <v>252</v>
      </c>
    </row>
    <row r="18" spans="1:16" ht="12.75">
      <c r="A18" t="s">
        <v>834</v>
      </c>
      <c r="C18" s="2">
        <f t="shared" si="10"/>
        <v>0</v>
      </c>
      <c r="D18" s="2">
        <v>24</v>
      </c>
      <c r="E18" s="2">
        <f t="shared" si="9"/>
        <v>0</v>
      </c>
      <c r="F18" s="4">
        <f>(B18*D18)/0.9</f>
        <v>0</v>
      </c>
      <c r="G18" s="2">
        <f>J18*0.33</f>
        <v>0</v>
      </c>
      <c r="H18" s="2">
        <f>J18*0.5</f>
        <v>0</v>
      </c>
      <c r="I18" s="2">
        <f>J18*0.67</f>
        <v>0</v>
      </c>
      <c r="J18" s="2">
        <f>E18*2</f>
        <v>0</v>
      </c>
      <c r="K18" s="2">
        <f t="shared" si="6"/>
        <v>0</v>
      </c>
      <c r="L18" s="2">
        <f>J18*3</f>
        <v>0</v>
      </c>
      <c r="M18" s="2">
        <f>J18*4</f>
        <v>0</v>
      </c>
      <c r="O18" s="16"/>
      <c r="P18" s="8"/>
    </row>
    <row r="19" spans="1:16" ht="12.75">
      <c r="A19" t="s">
        <v>833</v>
      </c>
      <c r="C19" s="2">
        <f t="shared" si="10"/>
        <v>0</v>
      </c>
      <c r="D19" s="2">
        <v>5.4</v>
      </c>
      <c r="E19" s="2">
        <f t="shared" si="9"/>
        <v>0</v>
      </c>
      <c r="F19" s="4">
        <f t="shared" si="11"/>
        <v>0</v>
      </c>
      <c r="G19" s="2">
        <f t="shared" si="2"/>
        <v>0</v>
      </c>
      <c r="H19" s="2">
        <f t="shared" si="3"/>
        <v>0</v>
      </c>
      <c r="I19" s="2">
        <f t="shared" si="4"/>
        <v>0</v>
      </c>
      <c r="J19" s="2">
        <f t="shared" si="5"/>
        <v>0</v>
      </c>
      <c r="K19" s="2">
        <f t="shared" si="6"/>
        <v>0</v>
      </c>
      <c r="L19" s="2">
        <f t="shared" si="7"/>
        <v>0</v>
      </c>
      <c r="M19" s="2">
        <f t="shared" si="8"/>
        <v>0</v>
      </c>
      <c r="P19" t="s">
        <v>333</v>
      </c>
    </row>
    <row r="20" spans="1:16" ht="12.75">
      <c r="A20" s="27" t="s">
        <v>1146</v>
      </c>
      <c r="B20">
        <v>8</v>
      </c>
      <c r="C20" s="2">
        <f t="shared" si="10"/>
        <v>0.7407407407407408</v>
      </c>
      <c r="D20" s="2">
        <v>2</v>
      </c>
      <c r="E20" s="2">
        <f t="shared" si="9"/>
        <v>1.4814814814814816</v>
      </c>
      <c r="F20" s="4">
        <f t="shared" si="11"/>
        <v>17.77777777777778</v>
      </c>
      <c r="G20" s="2">
        <f t="shared" si="2"/>
        <v>0.977777777777778</v>
      </c>
      <c r="H20" s="2">
        <f t="shared" si="3"/>
        <v>1.4814814814814816</v>
      </c>
      <c r="I20" s="2">
        <f t="shared" si="4"/>
        <v>1.9851851851851854</v>
      </c>
      <c r="J20" s="2">
        <f t="shared" si="5"/>
        <v>2.9629629629629632</v>
      </c>
      <c r="K20" s="2">
        <f t="shared" si="6"/>
        <v>5.9259259259259265</v>
      </c>
      <c r="L20" s="2">
        <f t="shared" si="7"/>
        <v>8.88888888888889</v>
      </c>
      <c r="M20" s="2">
        <f t="shared" si="8"/>
        <v>11.851851851851853</v>
      </c>
      <c r="O20" s="7">
        <f>O15/2/J31</f>
        <v>0.581145071028842</v>
      </c>
      <c r="P20" s="6" t="s">
        <v>883</v>
      </c>
    </row>
    <row r="21" spans="1:16" ht="12.75">
      <c r="A21" t="s">
        <v>162</v>
      </c>
      <c r="C21" s="2">
        <f t="shared" si="10"/>
        <v>0</v>
      </c>
      <c r="D21" s="2">
        <v>24</v>
      </c>
      <c r="E21" s="2">
        <f t="shared" si="9"/>
        <v>0</v>
      </c>
      <c r="F21" s="4">
        <f t="shared" si="11"/>
        <v>0</v>
      </c>
      <c r="G21" s="2">
        <f t="shared" si="2"/>
        <v>0</v>
      </c>
      <c r="H21" s="2">
        <f t="shared" si="3"/>
        <v>0</v>
      </c>
      <c r="I21" s="2">
        <f t="shared" si="4"/>
        <v>0</v>
      </c>
      <c r="J21" s="2">
        <f t="shared" si="5"/>
        <v>0</v>
      </c>
      <c r="K21" s="2">
        <f t="shared" si="6"/>
        <v>0</v>
      </c>
      <c r="L21" s="2">
        <f t="shared" si="7"/>
        <v>0</v>
      </c>
      <c r="M21" s="2">
        <f t="shared" si="8"/>
        <v>0</v>
      </c>
      <c r="O21" s="5">
        <f>O20*24</f>
        <v>13.947481704692208</v>
      </c>
      <c r="P21" s="6" t="s">
        <v>882</v>
      </c>
    </row>
    <row r="22" spans="1:16" ht="12.75">
      <c r="A22" t="s">
        <v>164</v>
      </c>
      <c r="C22" s="2">
        <f t="shared" si="10"/>
        <v>0</v>
      </c>
      <c r="D22" s="2">
        <v>0.1</v>
      </c>
      <c r="E22" s="2">
        <f t="shared" si="9"/>
        <v>0</v>
      </c>
      <c r="F22" s="4">
        <f t="shared" si="11"/>
        <v>0</v>
      </c>
      <c r="G22" s="2">
        <f t="shared" si="2"/>
        <v>0</v>
      </c>
      <c r="H22" s="2">
        <f t="shared" si="3"/>
        <v>0</v>
      </c>
      <c r="I22" s="2">
        <f t="shared" si="4"/>
        <v>0</v>
      </c>
      <c r="J22" s="2">
        <f t="shared" si="5"/>
        <v>0</v>
      </c>
      <c r="K22" s="2">
        <f t="shared" si="6"/>
        <v>0</v>
      </c>
      <c r="L22" s="2">
        <f t="shared" si="7"/>
        <v>0</v>
      </c>
      <c r="M22" s="2">
        <f t="shared" si="8"/>
        <v>0</v>
      </c>
      <c r="O22" s="5">
        <f>J61</f>
        <v>6.393213675213675</v>
      </c>
      <c r="P22" s="6" t="s">
        <v>243</v>
      </c>
    </row>
    <row r="23" spans="1:16" ht="12.75">
      <c r="A23" t="s">
        <v>633</v>
      </c>
      <c r="C23" s="2">
        <f t="shared" si="10"/>
        <v>0</v>
      </c>
      <c r="D23" s="2">
        <v>24</v>
      </c>
      <c r="E23" s="2">
        <f t="shared" si="9"/>
        <v>0</v>
      </c>
      <c r="F23" s="4">
        <f t="shared" si="11"/>
        <v>0</v>
      </c>
      <c r="G23" s="2">
        <f t="shared" si="2"/>
        <v>0</v>
      </c>
      <c r="H23" s="2">
        <f t="shared" si="3"/>
        <v>0</v>
      </c>
      <c r="I23" s="2">
        <f t="shared" si="4"/>
        <v>0</v>
      </c>
      <c r="J23" s="2">
        <f t="shared" si="5"/>
        <v>0</v>
      </c>
      <c r="K23" s="2">
        <f t="shared" si="6"/>
        <v>0</v>
      </c>
      <c r="L23" s="2">
        <f t="shared" si="7"/>
        <v>0</v>
      </c>
      <c r="M23" s="2">
        <f t="shared" si="8"/>
        <v>0</v>
      </c>
      <c r="P23" s="6" t="s">
        <v>242</v>
      </c>
    </row>
    <row r="24" spans="1:15" ht="12.75">
      <c r="A24" t="s">
        <v>632</v>
      </c>
      <c r="C24" s="2">
        <f t="shared" si="10"/>
        <v>0</v>
      </c>
      <c r="D24" s="2">
        <v>24</v>
      </c>
      <c r="E24" s="2">
        <f t="shared" si="9"/>
        <v>0</v>
      </c>
      <c r="F24" s="4">
        <f t="shared" si="11"/>
        <v>0</v>
      </c>
      <c r="G24" s="2">
        <f t="shared" si="2"/>
        <v>0</v>
      </c>
      <c r="H24" s="2">
        <f t="shared" si="3"/>
        <v>0</v>
      </c>
      <c r="I24" s="2">
        <f t="shared" si="4"/>
        <v>0</v>
      </c>
      <c r="J24" s="2">
        <f t="shared" si="5"/>
        <v>0</v>
      </c>
      <c r="K24" s="2">
        <f t="shared" si="6"/>
        <v>0</v>
      </c>
      <c r="L24" s="2">
        <f t="shared" si="7"/>
        <v>0</v>
      </c>
      <c r="M24" s="2">
        <f t="shared" si="8"/>
        <v>0</v>
      </c>
      <c r="O24" t="s">
        <v>899</v>
      </c>
    </row>
    <row r="25" spans="1:15" ht="12.75">
      <c r="A25" t="s">
        <v>1012</v>
      </c>
      <c r="C25" s="2">
        <f t="shared" si="10"/>
        <v>0</v>
      </c>
      <c r="D25" s="2">
        <v>8</v>
      </c>
      <c r="E25" s="2">
        <f t="shared" si="9"/>
        <v>0</v>
      </c>
      <c r="F25" s="4">
        <f t="shared" si="11"/>
        <v>0</v>
      </c>
      <c r="G25" s="2">
        <f t="shared" si="2"/>
        <v>0</v>
      </c>
      <c r="H25" s="2">
        <f t="shared" si="3"/>
        <v>0</v>
      </c>
      <c r="I25" s="2">
        <f t="shared" si="4"/>
        <v>0</v>
      </c>
      <c r="J25" s="2">
        <f t="shared" si="5"/>
        <v>0</v>
      </c>
      <c r="K25" s="2">
        <f t="shared" si="6"/>
        <v>0</v>
      </c>
      <c r="L25" s="2">
        <f t="shared" si="7"/>
        <v>0</v>
      </c>
      <c r="M25" s="2">
        <f t="shared" si="8"/>
        <v>0</v>
      </c>
      <c r="O25" t="s">
        <v>907</v>
      </c>
    </row>
    <row r="26" spans="1:15" ht="12.75">
      <c r="A26" t="s">
        <v>1156</v>
      </c>
      <c r="C26" s="2">
        <f t="shared" si="10"/>
        <v>0</v>
      </c>
      <c r="D26" s="2">
        <v>0</v>
      </c>
      <c r="E26" s="2">
        <f>C26*D26</f>
        <v>0</v>
      </c>
      <c r="F26" s="4">
        <f>(B26*D26)/0.9</f>
        <v>0</v>
      </c>
      <c r="G26" s="2">
        <f>J26*0.33</f>
        <v>0</v>
      </c>
      <c r="H26" s="2">
        <f>J26*0.5</f>
        <v>0</v>
      </c>
      <c r="I26" s="2">
        <f>J26*0.67</f>
        <v>0</v>
      </c>
      <c r="J26" s="2">
        <f>E26*2</f>
        <v>0</v>
      </c>
      <c r="K26" s="2">
        <f t="shared" si="6"/>
        <v>0</v>
      </c>
      <c r="L26" s="2">
        <f>J26*3</f>
        <v>0</v>
      </c>
      <c r="M26" s="2">
        <f>J26*4</f>
        <v>0</v>
      </c>
      <c r="O26" t="s">
        <v>908</v>
      </c>
    </row>
    <row r="27" spans="1:15" ht="12.75">
      <c r="A27" t="s">
        <v>1156</v>
      </c>
      <c r="C27" s="2">
        <f t="shared" si="10"/>
        <v>0</v>
      </c>
      <c r="D27" s="2">
        <v>0</v>
      </c>
      <c r="E27" s="2">
        <f>C27*D27</f>
        <v>0</v>
      </c>
      <c r="F27" s="4">
        <f>(B27*D27)/0.9</f>
        <v>0</v>
      </c>
      <c r="G27" s="2">
        <f>J27*0.33</f>
        <v>0</v>
      </c>
      <c r="H27" s="2">
        <f>J27*0.5</f>
        <v>0</v>
      </c>
      <c r="I27" s="2">
        <f>J27*0.67</f>
        <v>0</v>
      </c>
      <c r="J27" s="2">
        <f>E27*2</f>
        <v>0</v>
      </c>
      <c r="K27" s="2">
        <f t="shared" si="6"/>
        <v>0</v>
      </c>
      <c r="L27" s="2">
        <f>J27*3</f>
        <v>0</v>
      </c>
      <c r="M27" s="2">
        <f>J27*4</f>
        <v>0</v>
      </c>
      <c r="O27" t="s">
        <v>909</v>
      </c>
    </row>
    <row r="28" spans="1:15" ht="12.75">
      <c r="A28" t="s">
        <v>1156</v>
      </c>
      <c r="C28" s="2">
        <f t="shared" si="10"/>
        <v>0</v>
      </c>
      <c r="D28" s="2">
        <v>0</v>
      </c>
      <c r="E28" s="2">
        <f>C28*D28</f>
        <v>0</v>
      </c>
      <c r="F28" s="4">
        <f>(B28*D28)/0.9</f>
        <v>0</v>
      </c>
      <c r="G28" s="2">
        <f>J28*0.33</f>
        <v>0</v>
      </c>
      <c r="H28" s="2">
        <f>J28*0.5</f>
        <v>0</v>
      </c>
      <c r="I28" s="2">
        <f>J28*0.67</f>
        <v>0</v>
      </c>
      <c r="J28" s="2">
        <f>E28*2</f>
        <v>0</v>
      </c>
      <c r="K28" s="2">
        <f t="shared" si="6"/>
        <v>0</v>
      </c>
      <c r="L28" s="2">
        <f>J28*3</f>
        <v>0</v>
      </c>
      <c r="M28" s="2">
        <f>J28*4</f>
        <v>0</v>
      </c>
      <c r="O28" t="s">
        <v>560</v>
      </c>
    </row>
    <row r="29" spans="1:15" ht="12.75">
      <c r="A29" s="8" t="s">
        <v>1080</v>
      </c>
      <c r="B29" s="10">
        <f>SUM(B2:B25)</f>
        <v>260.4</v>
      </c>
      <c r="C29" s="2">
        <f>SUM(C2:C28)</f>
        <v>25.31111111111111</v>
      </c>
      <c r="D29" s="2"/>
      <c r="E29" s="2">
        <f>SUM(E2:E28)</f>
        <v>361.35555555555555</v>
      </c>
      <c r="F29" s="4">
        <f>SUM(F2:F28)</f>
        <v>4353.546666666666</v>
      </c>
      <c r="G29" s="2" t="s">
        <v>349</v>
      </c>
      <c r="H29" s="2" t="s">
        <v>355</v>
      </c>
      <c r="I29" s="2" t="s">
        <v>356</v>
      </c>
      <c r="J29" s="2" t="s">
        <v>357</v>
      </c>
      <c r="K29" s="2" t="s">
        <v>358</v>
      </c>
      <c r="L29" s="2" t="s">
        <v>359</v>
      </c>
      <c r="M29" s="2" t="s">
        <v>360</v>
      </c>
      <c r="O29" s="2" t="s">
        <v>561</v>
      </c>
    </row>
    <row r="30" spans="4:14" ht="12.75">
      <c r="D30" t="s">
        <v>884</v>
      </c>
      <c r="G30" s="2">
        <f>SUM(G2:G28)</f>
        <v>238.49466666666675</v>
      </c>
      <c r="H30" s="2">
        <f>SUM(H2:H28)</f>
        <v>361.35555555555555</v>
      </c>
      <c r="I30" s="2">
        <f>SUM(I2:I28)</f>
        <v>484.2164444444444</v>
      </c>
      <c r="J30" s="2">
        <f>SUM(J2:J28)</f>
        <v>722.7111111111111</v>
      </c>
      <c r="K30" s="2">
        <f>J30*2</f>
        <v>1445.4222222222222</v>
      </c>
      <c r="L30" s="2">
        <f>J30*3</f>
        <v>2168.133333333333</v>
      </c>
      <c r="M30" s="2">
        <f>J30*4</f>
        <v>2890.8444444444444</v>
      </c>
      <c r="N30" t="s">
        <v>253</v>
      </c>
    </row>
    <row r="31" spans="4:13" ht="12.75">
      <c r="D31" t="s">
        <v>244</v>
      </c>
      <c r="F31">
        <f>$O$15/2</f>
        <v>210</v>
      </c>
      <c r="G31" s="2">
        <f>G30/2</f>
        <v>119.24733333333337</v>
      </c>
      <c r="H31" s="2">
        <f>H30/2</f>
        <v>180.67777777777778</v>
      </c>
      <c r="I31" s="2">
        <f>I30/2</f>
        <v>242.1082222222222</v>
      </c>
      <c r="J31" s="2">
        <f>J30/2</f>
        <v>361.35555555555555</v>
      </c>
      <c r="K31" s="2">
        <f>J31*2</f>
        <v>722.7111111111111</v>
      </c>
      <c r="L31" s="2">
        <f>J31*3</f>
        <v>1084.0666666666666</v>
      </c>
      <c r="M31" s="2">
        <f>J31*4</f>
        <v>1445.4222222222222</v>
      </c>
    </row>
    <row r="32" spans="4:13" ht="12.75">
      <c r="D32" t="s">
        <v>810</v>
      </c>
      <c r="G32" s="2">
        <f>G31/$O$15*100</f>
        <v>28.39222222222223</v>
      </c>
      <c r="H32" s="2">
        <f aca="true" t="shared" si="12" ref="H32:M32">H31/$O$15*100</f>
        <v>43.01851851851852</v>
      </c>
      <c r="I32" s="2">
        <f t="shared" si="12"/>
        <v>57.64481481481481</v>
      </c>
      <c r="J32" s="2">
        <f t="shared" si="12"/>
        <v>86.03703703703704</v>
      </c>
      <c r="K32" s="2">
        <f t="shared" si="12"/>
        <v>172.07407407407408</v>
      </c>
      <c r="L32" s="2">
        <f t="shared" si="12"/>
        <v>258.1111111111111</v>
      </c>
      <c r="M32" s="2">
        <f t="shared" si="12"/>
        <v>344.14814814814815</v>
      </c>
    </row>
    <row r="33" spans="4:14" ht="12.75">
      <c r="D33" t="s">
        <v>811</v>
      </c>
      <c r="E33" s="22"/>
      <c r="F33" s="4"/>
      <c r="G33" s="2">
        <f>G31*1.15</f>
        <v>137.13443333333336</v>
      </c>
      <c r="H33" s="2">
        <f aca="true" t="shared" si="13" ref="H33:M33">H31*1.15</f>
        <v>207.77944444444444</v>
      </c>
      <c r="I33" s="2">
        <f t="shared" si="13"/>
        <v>278.4244555555555</v>
      </c>
      <c r="J33" s="2">
        <f t="shared" si="13"/>
        <v>415.5588888888889</v>
      </c>
      <c r="K33" s="2">
        <f t="shared" si="13"/>
        <v>831.1177777777777</v>
      </c>
      <c r="L33" s="2">
        <f t="shared" si="13"/>
        <v>1246.6766666666665</v>
      </c>
      <c r="M33" s="2">
        <f t="shared" si="13"/>
        <v>1662.2355555555555</v>
      </c>
      <c r="N33" t="s">
        <v>812</v>
      </c>
    </row>
    <row r="34" spans="1:13" ht="12.75">
      <c r="A34" t="s">
        <v>545</v>
      </c>
      <c r="E34" s="22"/>
      <c r="F34" s="4"/>
      <c r="G34" s="2"/>
      <c r="H34" s="2"/>
      <c r="I34" s="2"/>
      <c r="J34" s="2"/>
      <c r="K34" s="2"/>
      <c r="L34" s="2"/>
      <c r="M34" s="2"/>
    </row>
    <row r="35" spans="1:17" ht="12.75">
      <c r="A35" t="s">
        <v>567</v>
      </c>
      <c r="C35" t="s">
        <v>414</v>
      </c>
      <c r="E35" t="s">
        <v>542</v>
      </c>
      <c r="F35" t="s">
        <v>543</v>
      </c>
      <c r="G35" s="2" t="s">
        <v>628</v>
      </c>
      <c r="H35" s="2"/>
      <c r="I35" s="2"/>
      <c r="J35" s="2"/>
      <c r="K35" s="2"/>
      <c r="L35" s="2"/>
      <c r="M35" s="2"/>
      <c r="O35" t="s">
        <v>564</v>
      </c>
      <c r="P35" t="s">
        <v>544</v>
      </c>
      <c r="Q35" s="34" t="s">
        <v>809</v>
      </c>
    </row>
    <row r="36" spans="1:17" ht="12.75">
      <c r="A36" t="s">
        <v>568</v>
      </c>
      <c r="C36" t="s">
        <v>373</v>
      </c>
      <c r="E36">
        <v>300</v>
      </c>
      <c r="G36" s="2">
        <f>G33/O36</f>
        <v>6.60276901234568</v>
      </c>
      <c r="H36" s="2">
        <f>H33/O36</f>
        <v>10.004195473251029</v>
      </c>
      <c r="I36" s="2">
        <f>I33/O36</f>
        <v>13.405621934156375</v>
      </c>
      <c r="J36" s="2">
        <f>J33/O36</f>
        <v>20.008390946502058</v>
      </c>
      <c r="K36" s="2">
        <f aca="true" t="shared" si="14" ref="K36:K61">J36*2</f>
        <v>40.016781893004115</v>
      </c>
      <c r="L36" s="2">
        <f aca="true" t="shared" si="15" ref="L36:L61">J36*3</f>
        <v>60.02517283950617</v>
      </c>
      <c r="M36" s="2">
        <f aca="true" t="shared" si="16" ref="M36:M61">J36*4</f>
        <v>80.03356378600823</v>
      </c>
      <c r="N36" t="s">
        <v>1142</v>
      </c>
      <c r="O36">
        <f>E36/13*0.9</f>
        <v>20.76923076923077</v>
      </c>
      <c r="Q36" s="10">
        <f>O36*Q157</f>
        <v>69.36923076923077</v>
      </c>
    </row>
    <row r="37" spans="1:17" ht="12.75">
      <c r="A37" t="s">
        <v>546</v>
      </c>
      <c r="F37">
        <f>E36*0.88</f>
        <v>264</v>
      </c>
      <c r="G37" s="2">
        <f>G$33/$P37</f>
        <v>7.503146604938274</v>
      </c>
      <c r="H37" s="2">
        <f>H$33/$P37</f>
        <v>11.36840394687617</v>
      </c>
      <c r="I37" s="2">
        <f>I$33/$P37</f>
        <v>15.233661288814064</v>
      </c>
      <c r="J37" s="2">
        <f>J$33/$P37</f>
        <v>22.73680789375234</v>
      </c>
      <c r="K37" s="2">
        <f t="shared" si="14"/>
        <v>45.47361578750468</v>
      </c>
      <c r="L37" s="2">
        <f>J37*3</f>
        <v>68.21042368125701</v>
      </c>
      <c r="M37" s="2">
        <f>J37*4</f>
        <v>90.94723157500935</v>
      </c>
      <c r="P37">
        <f>F37/13*0.9</f>
        <v>18.276923076923076</v>
      </c>
      <c r="Q37" s="10">
        <f>P37*Q157</f>
        <v>61.04492307692307</v>
      </c>
    </row>
    <row r="38" spans="1:17" ht="12.75">
      <c r="A38" t="s">
        <v>550</v>
      </c>
      <c r="C38" t="s">
        <v>399</v>
      </c>
      <c r="E38">
        <v>300</v>
      </c>
      <c r="G38" s="2">
        <f>G$33/O38</f>
        <v>6.60276901234568</v>
      </c>
      <c r="H38" s="2">
        <f>H33/O38</f>
        <v>10.004195473251029</v>
      </c>
      <c r="I38" s="2">
        <f>I33/O38</f>
        <v>13.405621934156375</v>
      </c>
      <c r="J38" s="2">
        <f>J33/O38</f>
        <v>20.008390946502058</v>
      </c>
      <c r="K38" s="2">
        <f t="shared" si="14"/>
        <v>40.016781893004115</v>
      </c>
      <c r="L38" s="2">
        <f t="shared" si="15"/>
        <v>60.02517283950617</v>
      </c>
      <c r="M38" s="2">
        <f t="shared" si="16"/>
        <v>80.03356378600823</v>
      </c>
      <c r="N38" t="s">
        <v>1142</v>
      </c>
      <c r="O38">
        <f>E38/13*0.9</f>
        <v>20.76923076923077</v>
      </c>
      <c r="Q38" s="10">
        <f>O38*Q159</f>
        <v>107.7923076923077</v>
      </c>
    </row>
    <row r="39" spans="1:17" ht="12.75">
      <c r="A39" t="s">
        <v>547</v>
      </c>
      <c r="F39">
        <f>E38*0.88</f>
        <v>264</v>
      </c>
      <c r="G39" s="2">
        <f>G$33/$P39</f>
        <v>7.503146604938274</v>
      </c>
      <c r="H39" s="2">
        <f aca="true" t="shared" si="17" ref="H39:J59">H$33/$P39</f>
        <v>11.36840394687617</v>
      </c>
      <c r="I39" s="2">
        <f t="shared" si="17"/>
        <v>15.233661288814064</v>
      </c>
      <c r="J39" s="2">
        <f t="shared" si="17"/>
        <v>22.73680789375234</v>
      </c>
      <c r="K39" s="2">
        <f t="shared" si="14"/>
        <v>45.47361578750468</v>
      </c>
      <c r="L39" s="2">
        <f>J39*3</f>
        <v>68.21042368125701</v>
      </c>
      <c r="M39" s="2">
        <f>J39*4</f>
        <v>90.94723157500935</v>
      </c>
      <c r="P39">
        <f>F39/13*0.9</f>
        <v>18.276923076923076</v>
      </c>
      <c r="Q39" s="10">
        <f>P39*Q159</f>
        <v>94.85723076923077</v>
      </c>
    </row>
    <row r="40" spans="1:17" ht="12.75">
      <c r="A40" t="s">
        <v>548</v>
      </c>
      <c r="C40" t="s">
        <v>373</v>
      </c>
      <c r="E40">
        <v>400</v>
      </c>
      <c r="G40" s="2">
        <f>G33/O40</f>
        <v>4.95207675925926</v>
      </c>
      <c r="H40" s="2">
        <f>H33/O40</f>
        <v>7.503146604938271</v>
      </c>
      <c r="I40" s="2">
        <f>I33/O40</f>
        <v>10.05421645061728</v>
      </c>
      <c r="J40" s="2">
        <f>J33/O40</f>
        <v>15.006293209876542</v>
      </c>
      <c r="K40" s="2">
        <f t="shared" si="14"/>
        <v>30.012586419753084</v>
      </c>
      <c r="L40" s="2">
        <f t="shared" si="15"/>
        <v>45.01887962962962</v>
      </c>
      <c r="M40" s="2">
        <f t="shared" si="16"/>
        <v>60.02517283950617</v>
      </c>
      <c r="N40" t="s">
        <v>1142</v>
      </c>
      <c r="O40">
        <f aca="true" t="shared" si="18" ref="O40:O58">E40/13*0.9</f>
        <v>27.692307692307693</v>
      </c>
      <c r="Q40" s="10">
        <f>O40*Q157</f>
        <v>92.49230769230769</v>
      </c>
    </row>
    <row r="41" spans="1:17" ht="12.75">
      <c r="A41" t="s">
        <v>549</v>
      </c>
      <c r="F41">
        <f>E40*0.88</f>
        <v>352</v>
      </c>
      <c r="G41" s="2">
        <f>G$33/$P41</f>
        <v>5.627359953703706</v>
      </c>
      <c r="H41" s="2">
        <f t="shared" si="17"/>
        <v>8.526302960157127</v>
      </c>
      <c r="I41" s="2">
        <f t="shared" si="17"/>
        <v>11.425245966610548</v>
      </c>
      <c r="J41" s="2">
        <f t="shared" si="17"/>
        <v>17.052605920314253</v>
      </c>
      <c r="K41" s="2">
        <f t="shared" si="14"/>
        <v>34.105211840628506</v>
      </c>
      <c r="L41" s="2">
        <f t="shared" si="15"/>
        <v>51.15781776094276</v>
      </c>
      <c r="M41" s="2">
        <f t="shared" si="16"/>
        <v>68.21042368125701</v>
      </c>
      <c r="P41">
        <f>F41/13*0.9</f>
        <v>24.369230769230768</v>
      </c>
      <c r="Q41" s="10">
        <f>P41*Q157</f>
        <v>81.39323076923075</v>
      </c>
    </row>
    <row r="42" spans="1:17" ht="12.75">
      <c r="A42" t="s">
        <v>551</v>
      </c>
      <c r="C42" t="s">
        <v>399</v>
      </c>
      <c r="E42">
        <v>400</v>
      </c>
      <c r="G42" s="2">
        <f>G33/O42</f>
        <v>4.95207675925926</v>
      </c>
      <c r="H42" s="2">
        <f>H33/O42</f>
        <v>7.503146604938271</v>
      </c>
      <c r="I42" s="2">
        <f>I33/O42</f>
        <v>10.05421645061728</v>
      </c>
      <c r="J42" s="2">
        <f>J33/O42</f>
        <v>15.006293209876542</v>
      </c>
      <c r="K42" s="2">
        <f t="shared" si="14"/>
        <v>30.012586419753084</v>
      </c>
      <c r="L42" s="2">
        <f t="shared" si="15"/>
        <v>45.01887962962962</v>
      </c>
      <c r="M42" s="2">
        <f t="shared" si="16"/>
        <v>60.02517283950617</v>
      </c>
      <c r="N42" t="s">
        <v>1142</v>
      </c>
      <c r="O42">
        <f t="shared" si="18"/>
        <v>27.692307692307693</v>
      </c>
      <c r="Q42" s="10">
        <f>O42*Q159</f>
        <v>143.72307692307695</v>
      </c>
    </row>
    <row r="43" spans="6:17" ht="12.75">
      <c r="F43">
        <f>E42*0.88</f>
        <v>352</v>
      </c>
      <c r="G43" s="2">
        <f>G$33/$P43</f>
        <v>5.627359953703706</v>
      </c>
      <c r="H43" s="2">
        <f t="shared" si="17"/>
        <v>8.526302960157127</v>
      </c>
      <c r="I43" s="2">
        <f t="shared" si="17"/>
        <v>11.425245966610548</v>
      </c>
      <c r="J43" s="2">
        <f t="shared" si="17"/>
        <v>17.052605920314253</v>
      </c>
      <c r="K43" s="2">
        <f t="shared" si="14"/>
        <v>34.105211840628506</v>
      </c>
      <c r="L43" s="2">
        <f>J43*3</f>
        <v>51.15781776094276</v>
      </c>
      <c r="M43" s="2">
        <f>J43*4</f>
        <v>68.21042368125701</v>
      </c>
      <c r="P43">
        <f>F43/13*0.9</f>
        <v>24.369230769230768</v>
      </c>
      <c r="Q43" s="10">
        <f>P43*Q159</f>
        <v>126.4763076923077</v>
      </c>
    </row>
    <row r="44" spans="1:17" ht="12.75">
      <c r="A44" t="s">
        <v>179</v>
      </c>
      <c r="B44" s="20"/>
      <c r="C44" t="s">
        <v>373</v>
      </c>
      <c r="E44">
        <v>500</v>
      </c>
      <c r="G44" s="2">
        <f>G33/O44</f>
        <v>3.9616614074074086</v>
      </c>
      <c r="H44" s="2">
        <f>H33/O44</f>
        <v>6.002517283950618</v>
      </c>
      <c r="I44" s="2">
        <f>I33/O44</f>
        <v>8.043373160493825</v>
      </c>
      <c r="J44" s="2">
        <f>J33/O44</f>
        <v>12.005034567901236</v>
      </c>
      <c r="K44" s="2">
        <f t="shared" si="14"/>
        <v>24.01006913580247</v>
      </c>
      <c r="L44" s="2">
        <f t="shared" si="15"/>
        <v>36.01510370370371</v>
      </c>
      <c r="M44" s="2">
        <f t="shared" si="16"/>
        <v>48.02013827160494</v>
      </c>
      <c r="N44" t="s">
        <v>1142</v>
      </c>
      <c r="O44">
        <f t="shared" si="18"/>
        <v>34.61538461538461</v>
      </c>
      <c r="Q44" s="10">
        <f>O44*Q157</f>
        <v>115.6153846153846</v>
      </c>
    </row>
    <row r="45" spans="1:17" ht="12.75">
      <c r="A45" t="s">
        <v>180</v>
      </c>
      <c r="B45" s="20"/>
      <c r="F45">
        <f>E44*0.88</f>
        <v>440</v>
      </c>
      <c r="G45" s="2">
        <f>G$33/$P45</f>
        <v>4.501887962962964</v>
      </c>
      <c r="H45" s="2">
        <f t="shared" si="17"/>
        <v>6.821042368125701</v>
      </c>
      <c r="I45" s="2">
        <f t="shared" si="17"/>
        <v>9.140196773288437</v>
      </c>
      <c r="J45" s="2">
        <f t="shared" si="17"/>
        <v>13.642084736251402</v>
      </c>
      <c r="K45" s="2">
        <f t="shared" si="14"/>
        <v>27.284169472502803</v>
      </c>
      <c r="L45" s="2">
        <f>J45*3</f>
        <v>40.9262542087542</v>
      </c>
      <c r="M45" s="2">
        <f>J45*4</f>
        <v>54.56833894500561</v>
      </c>
      <c r="P45">
        <f>F45/13*0.9</f>
        <v>30.461538461538463</v>
      </c>
      <c r="Q45" s="10">
        <f>P45*Q157</f>
        <v>101.74153846153847</v>
      </c>
    </row>
    <row r="46" spans="1:17" ht="12.75">
      <c r="A46" t="s">
        <v>299</v>
      </c>
      <c r="C46" t="s">
        <v>399</v>
      </c>
      <c r="E46">
        <v>500</v>
      </c>
      <c r="G46" s="2">
        <f>G33/O46</f>
        <v>3.9616614074074086</v>
      </c>
      <c r="H46" s="2">
        <f>H33/O46</f>
        <v>6.002517283950618</v>
      </c>
      <c r="I46" s="2">
        <f>I33/O46</f>
        <v>8.043373160493825</v>
      </c>
      <c r="J46" s="2">
        <f>J33/O46</f>
        <v>12.005034567901236</v>
      </c>
      <c r="K46" s="2">
        <f t="shared" si="14"/>
        <v>24.01006913580247</v>
      </c>
      <c r="L46" s="2">
        <f t="shared" si="15"/>
        <v>36.01510370370371</v>
      </c>
      <c r="M46" s="2">
        <f t="shared" si="16"/>
        <v>48.02013827160494</v>
      </c>
      <c r="N46" t="s">
        <v>1142</v>
      </c>
      <c r="O46">
        <f t="shared" si="18"/>
        <v>34.61538461538461</v>
      </c>
      <c r="Q46" s="10">
        <f>O46*Q159</f>
        <v>179.65384615384616</v>
      </c>
    </row>
    <row r="47" spans="1:17" ht="12.75">
      <c r="A47" t="s">
        <v>178</v>
      </c>
      <c r="F47">
        <f>E46*0.88</f>
        <v>440</v>
      </c>
      <c r="G47" s="2">
        <f>G$33/$P47</f>
        <v>4.501887962962964</v>
      </c>
      <c r="H47" s="2">
        <f t="shared" si="17"/>
        <v>6.821042368125701</v>
      </c>
      <c r="I47" s="2">
        <f t="shared" si="17"/>
        <v>9.140196773288437</v>
      </c>
      <c r="J47" s="2">
        <f t="shared" si="17"/>
        <v>13.642084736251402</v>
      </c>
      <c r="K47" s="2">
        <f t="shared" si="14"/>
        <v>27.284169472502803</v>
      </c>
      <c r="L47" s="2">
        <f>J47*3</f>
        <v>40.9262542087542</v>
      </c>
      <c r="M47" s="2">
        <f>J47*4</f>
        <v>54.56833894500561</v>
      </c>
      <c r="P47">
        <f>F47/13*0.9</f>
        <v>30.461538461538463</v>
      </c>
      <c r="Q47" s="10">
        <f>P47*Q159</f>
        <v>158.09538461538463</v>
      </c>
    </row>
    <row r="48" spans="1:17" ht="12.75">
      <c r="A48" t="s">
        <v>181</v>
      </c>
      <c r="B48" s="19"/>
      <c r="C48" t="s">
        <v>373</v>
      </c>
      <c r="E48">
        <v>900</v>
      </c>
      <c r="G48" s="2">
        <f>G33/O48</f>
        <v>2.200923004115227</v>
      </c>
      <c r="H48" s="2">
        <f>H33/O48</f>
        <v>3.3347318244170094</v>
      </c>
      <c r="I48" s="2">
        <f>I33/O48</f>
        <v>4.468540644718792</v>
      </c>
      <c r="J48" s="2">
        <f>J33/O48</f>
        <v>6.669463648834019</v>
      </c>
      <c r="K48" s="2">
        <f t="shared" si="14"/>
        <v>13.338927297668038</v>
      </c>
      <c r="L48" s="2">
        <f t="shared" si="15"/>
        <v>20.008390946502058</v>
      </c>
      <c r="M48" s="2">
        <f t="shared" si="16"/>
        <v>26.677854595336076</v>
      </c>
      <c r="N48" t="s">
        <v>1142</v>
      </c>
      <c r="O48">
        <f t="shared" si="18"/>
        <v>62.30769230769231</v>
      </c>
      <c r="Q48" s="10">
        <f>O48*Q157</f>
        <v>208.1076923076923</v>
      </c>
    </row>
    <row r="49" spans="1:17" ht="12.75">
      <c r="A49" t="s">
        <v>334</v>
      </c>
      <c r="B49" s="19"/>
      <c r="F49">
        <f>E48*0.88</f>
        <v>792</v>
      </c>
      <c r="G49" s="2">
        <f>G$33/$P49</f>
        <v>2.501048868312758</v>
      </c>
      <c r="H49" s="2">
        <f t="shared" si="17"/>
        <v>3.7894679822920563</v>
      </c>
      <c r="I49" s="2">
        <f t="shared" si="17"/>
        <v>5.077887096271354</v>
      </c>
      <c r="J49" s="2">
        <f t="shared" si="17"/>
        <v>7.578935964584113</v>
      </c>
      <c r="K49" s="2">
        <f t="shared" si="14"/>
        <v>15.157871929168225</v>
      </c>
      <c r="L49" s="2">
        <f>J49*3</f>
        <v>22.73680789375234</v>
      </c>
      <c r="M49" s="2">
        <f>J49*4</f>
        <v>30.31574385833645</v>
      </c>
      <c r="P49">
        <f>F49/13*0.9</f>
        <v>54.83076923076923</v>
      </c>
      <c r="Q49" s="10">
        <f>P49*Q157</f>
        <v>183.13476923076922</v>
      </c>
    </row>
    <row r="50" spans="1:17" ht="12.75">
      <c r="A50" t="s">
        <v>371</v>
      </c>
      <c r="B50" s="19"/>
      <c r="C50" t="s">
        <v>399</v>
      </c>
      <c r="E50">
        <v>900</v>
      </c>
      <c r="G50" s="2">
        <f>G33/O50</f>
        <v>2.200923004115227</v>
      </c>
      <c r="H50" s="2">
        <f>H33/O50</f>
        <v>3.3347318244170094</v>
      </c>
      <c r="I50" s="2">
        <f>I33/O50</f>
        <v>4.468540644718792</v>
      </c>
      <c r="J50" s="2">
        <f>J33/O50</f>
        <v>6.669463648834019</v>
      </c>
      <c r="K50" s="2">
        <f t="shared" si="14"/>
        <v>13.338927297668038</v>
      </c>
      <c r="L50" s="2">
        <f t="shared" si="15"/>
        <v>20.008390946502058</v>
      </c>
      <c r="M50" s="2">
        <f t="shared" si="16"/>
        <v>26.677854595336076</v>
      </c>
      <c r="N50" t="s">
        <v>1142</v>
      </c>
      <c r="O50">
        <f t="shared" si="18"/>
        <v>62.30769230769231</v>
      </c>
      <c r="Q50" s="10">
        <f>O50*Q159</f>
        <v>323.3769230769231</v>
      </c>
    </row>
    <row r="51" spans="2:17" ht="12.75">
      <c r="B51" s="19"/>
      <c r="F51">
        <f>E50*0.88</f>
        <v>792</v>
      </c>
      <c r="G51" s="2">
        <f>G$33/$P51</f>
        <v>2.501048868312758</v>
      </c>
      <c r="H51" s="2">
        <f t="shared" si="17"/>
        <v>3.7894679822920563</v>
      </c>
      <c r="I51" s="2">
        <f t="shared" si="17"/>
        <v>5.077887096271354</v>
      </c>
      <c r="J51" s="2">
        <f t="shared" si="17"/>
        <v>7.578935964584113</v>
      </c>
      <c r="K51" s="2">
        <f t="shared" si="14"/>
        <v>15.157871929168225</v>
      </c>
      <c r="L51" s="2">
        <f>J51*3</f>
        <v>22.73680789375234</v>
      </c>
      <c r="M51" s="2">
        <f>J51*4</f>
        <v>30.31574385833645</v>
      </c>
      <c r="P51">
        <f>F51/13*0.9</f>
        <v>54.83076923076923</v>
      </c>
      <c r="Q51" s="10">
        <f>P51*Q159</f>
        <v>284.57169230769233</v>
      </c>
    </row>
    <row r="52" spans="1:17" ht="12.75">
      <c r="A52" s="24" t="s">
        <v>552</v>
      </c>
      <c r="C52" t="s">
        <v>373</v>
      </c>
      <c r="E52">
        <v>1510</v>
      </c>
      <c r="G52" s="2">
        <f>G33/O52</f>
        <v>1.3118084130488106</v>
      </c>
      <c r="H52" s="2">
        <f>H33/O52</f>
        <v>1.9875885046194095</v>
      </c>
      <c r="I52" s="2">
        <f>I33/O52</f>
        <v>2.663368596190008</v>
      </c>
      <c r="J52" s="2">
        <f>J33/O52</f>
        <v>3.975177009238819</v>
      </c>
      <c r="K52" s="2">
        <f t="shared" si="14"/>
        <v>7.950354018477638</v>
      </c>
      <c r="L52" s="2">
        <f t="shared" si="15"/>
        <v>11.925531027716456</v>
      </c>
      <c r="M52" s="2">
        <f t="shared" si="16"/>
        <v>15.900708036955276</v>
      </c>
      <c r="N52" t="s">
        <v>1142</v>
      </c>
      <c r="O52">
        <f t="shared" si="18"/>
        <v>104.53846153846155</v>
      </c>
      <c r="Q52" s="10">
        <f>O52*Q157</f>
        <v>349.15846153846155</v>
      </c>
    </row>
    <row r="53" spans="1:17" ht="12.75">
      <c r="A53" t="s">
        <v>553</v>
      </c>
      <c r="F53">
        <f>E52*0.88</f>
        <v>1328.8</v>
      </c>
      <c r="G53" s="2">
        <f>G$33/$P53</f>
        <v>1.4906913784645577</v>
      </c>
      <c r="H53" s="2">
        <f t="shared" si="17"/>
        <v>2.2586233007038747</v>
      </c>
      <c r="I53" s="2">
        <f t="shared" si="17"/>
        <v>3.0265552229431916</v>
      </c>
      <c r="J53" s="2">
        <f t="shared" si="17"/>
        <v>4.5172466014077495</v>
      </c>
      <c r="K53" s="2">
        <f t="shared" si="14"/>
        <v>9.034493202815499</v>
      </c>
      <c r="L53" s="2">
        <f>J53*3</f>
        <v>13.55173980422325</v>
      </c>
      <c r="M53" s="2">
        <f>J53*4</f>
        <v>18.068986405630998</v>
      </c>
      <c r="P53">
        <f>F53/13*0.9</f>
        <v>91.99384615384615</v>
      </c>
      <c r="Q53" s="10">
        <f>P53*Q157</f>
        <v>307.2594461538461</v>
      </c>
    </row>
    <row r="54" spans="1:17" ht="12.75">
      <c r="A54" t="s">
        <v>554</v>
      </c>
      <c r="C54" t="s">
        <v>399</v>
      </c>
      <c r="E54">
        <v>1510</v>
      </c>
      <c r="G54" s="2">
        <f>G33/O54</f>
        <v>1.3118084130488106</v>
      </c>
      <c r="H54" s="2">
        <f>H33/O54</f>
        <v>1.9875885046194095</v>
      </c>
      <c r="I54" s="2">
        <f>I33/O54</f>
        <v>2.663368596190008</v>
      </c>
      <c r="J54" s="2">
        <f>J33/O54</f>
        <v>3.975177009238819</v>
      </c>
      <c r="K54" s="2">
        <f t="shared" si="14"/>
        <v>7.950354018477638</v>
      </c>
      <c r="L54" s="2">
        <f t="shared" si="15"/>
        <v>11.925531027716456</v>
      </c>
      <c r="M54" s="2">
        <f t="shared" si="16"/>
        <v>15.900708036955276</v>
      </c>
      <c r="N54" t="s">
        <v>1142</v>
      </c>
      <c r="O54">
        <f t="shared" si="18"/>
        <v>104.53846153846155</v>
      </c>
      <c r="Q54" s="10">
        <f>O54*Q159</f>
        <v>542.5546153846154</v>
      </c>
    </row>
    <row r="55" spans="1:17" ht="12.75">
      <c r="A55" t="s">
        <v>555</v>
      </c>
      <c r="F55">
        <f>E54*0.88</f>
        <v>1328.8</v>
      </c>
      <c r="G55" s="2">
        <f>G$33/$P55</f>
        <v>1.4906913784645577</v>
      </c>
      <c r="H55" s="2">
        <f t="shared" si="17"/>
        <v>2.2586233007038747</v>
      </c>
      <c r="I55" s="2">
        <f t="shared" si="17"/>
        <v>3.0265552229431916</v>
      </c>
      <c r="J55" s="2">
        <f t="shared" si="17"/>
        <v>4.5172466014077495</v>
      </c>
      <c r="K55" s="2">
        <f t="shared" si="14"/>
        <v>9.034493202815499</v>
      </c>
      <c r="L55" s="2">
        <f>J55*3</f>
        <v>13.55173980422325</v>
      </c>
      <c r="M55" s="2">
        <f>J55*4</f>
        <v>18.068986405630998</v>
      </c>
      <c r="P55">
        <f>F55/13*0.9</f>
        <v>91.99384615384615</v>
      </c>
      <c r="Q55" s="10">
        <f>P55*Q159</f>
        <v>477.44806153846156</v>
      </c>
    </row>
    <row r="56" spans="1:17" ht="12.75">
      <c r="A56" t="s">
        <v>556</v>
      </c>
      <c r="C56" t="s">
        <v>373</v>
      </c>
      <c r="E56">
        <v>1900</v>
      </c>
      <c r="G56" s="2">
        <f>G33/O56</f>
        <v>1.0425424756335284</v>
      </c>
      <c r="H56" s="2">
        <f>H33/O56</f>
        <v>1.5796098115659518</v>
      </c>
      <c r="I56" s="2">
        <f>I33/O56</f>
        <v>2.116677147498375</v>
      </c>
      <c r="J56" s="2">
        <f>J33/O56</f>
        <v>3.1592196231319036</v>
      </c>
      <c r="K56" s="2">
        <f t="shared" si="14"/>
        <v>6.318439246263807</v>
      </c>
      <c r="L56" s="2">
        <f t="shared" si="15"/>
        <v>9.477658869395711</v>
      </c>
      <c r="M56" s="2">
        <f t="shared" si="16"/>
        <v>12.636878492527615</v>
      </c>
      <c r="N56" t="s">
        <v>1142</v>
      </c>
      <c r="O56">
        <f t="shared" si="18"/>
        <v>131.53846153846155</v>
      </c>
      <c r="Q56" s="10">
        <f>O56*Q157</f>
        <v>439.33846153846156</v>
      </c>
    </row>
    <row r="57" spans="1:18" ht="12.75">
      <c r="A57" t="s">
        <v>562</v>
      </c>
      <c r="F57">
        <f>E56*0.88</f>
        <v>1672</v>
      </c>
      <c r="G57" s="2">
        <f>G$33/$P57</f>
        <v>1.184707358674464</v>
      </c>
      <c r="H57" s="2">
        <f t="shared" si="17"/>
        <v>1.7950111495067635</v>
      </c>
      <c r="I57" s="2">
        <f t="shared" si="17"/>
        <v>2.4053149403390623</v>
      </c>
      <c r="J57" s="2">
        <f t="shared" si="17"/>
        <v>3.590022299013527</v>
      </c>
      <c r="K57" s="2">
        <f t="shared" si="14"/>
        <v>7.180044598027054</v>
      </c>
      <c r="L57" s="2">
        <f>J57*3</f>
        <v>10.770066897040582</v>
      </c>
      <c r="M57" s="2">
        <f>J57*4</f>
        <v>14.360089196054108</v>
      </c>
      <c r="P57">
        <f>F57/13*0.9</f>
        <v>115.75384615384615</v>
      </c>
      <c r="Q57" s="10">
        <f>P57*Q157</f>
        <v>386.61784615384613</v>
      </c>
      <c r="R57" t="s">
        <v>571</v>
      </c>
    </row>
    <row r="58" spans="1:18" ht="12.75">
      <c r="A58" t="s">
        <v>563</v>
      </c>
      <c r="C58" t="s">
        <v>399</v>
      </c>
      <c r="E58">
        <v>1900</v>
      </c>
      <c r="G58" s="2">
        <f>G33/O58</f>
        <v>1.0425424756335284</v>
      </c>
      <c r="H58" s="2">
        <f>H33/O58</f>
        <v>1.5796098115659518</v>
      </c>
      <c r="I58" s="2">
        <f>I33/O58</f>
        <v>2.116677147498375</v>
      </c>
      <c r="J58" s="2">
        <f>J33/O58</f>
        <v>3.1592196231319036</v>
      </c>
      <c r="K58" s="2">
        <f t="shared" si="14"/>
        <v>6.318439246263807</v>
      </c>
      <c r="L58" s="2">
        <f t="shared" si="15"/>
        <v>9.477658869395711</v>
      </c>
      <c r="M58" s="2">
        <f t="shared" si="16"/>
        <v>12.636878492527615</v>
      </c>
      <c r="N58" t="s">
        <v>1142</v>
      </c>
      <c r="O58">
        <f t="shared" si="18"/>
        <v>131.53846153846155</v>
      </c>
      <c r="Q58" s="10">
        <f>O58*Q159</f>
        <v>682.6846153846154</v>
      </c>
      <c r="R58" t="s">
        <v>572</v>
      </c>
    </row>
    <row r="59" spans="1:18" ht="12.75">
      <c r="A59" t="s">
        <v>565</v>
      </c>
      <c r="F59">
        <f>E58*0.88</f>
        <v>1672</v>
      </c>
      <c r="G59" s="2">
        <f>G$33/$P59</f>
        <v>1.184707358674464</v>
      </c>
      <c r="H59" s="2">
        <f t="shared" si="17"/>
        <v>1.7950111495067635</v>
      </c>
      <c r="I59" s="2">
        <f t="shared" si="17"/>
        <v>2.4053149403390623</v>
      </c>
      <c r="J59" s="2">
        <f t="shared" si="17"/>
        <v>3.590022299013527</v>
      </c>
      <c r="K59" s="2">
        <f t="shared" si="14"/>
        <v>7.180044598027054</v>
      </c>
      <c r="L59" s="2">
        <f>J59*3</f>
        <v>10.770066897040582</v>
      </c>
      <c r="M59" s="2">
        <f>J59*4</f>
        <v>14.360089196054108</v>
      </c>
      <c r="P59">
        <f>F59/13*0.9</f>
        <v>115.75384615384615</v>
      </c>
      <c r="Q59" s="10">
        <f>P59*Q159</f>
        <v>600.7624615384616</v>
      </c>
      <c r="R59" t="s">
        <v>573</v>
      </c>
    </row>
    <row r="60" spans="1:18" ht="12.75">
      <c r="A60" t="s">
        <v>566</v>
      </c>
      <c r="G60" s="26"/>
      <c r="H60" s="26"/>
      <c r="I60" s="26"/>
      <c r="J60" s="26"/>
      <c r="K60" s="26"/>
      <c r="L60" s="26"/>
      <c r="M60" s="26"/>
      <c r="R60" t="s">
        <v>574</v>
      </c>
    </row>
    <row r="61" spans="1:16" ht="12.75">
      <c r="A61" t="s">
        <v>569</v>
      </c>
      <c r="C61" t="s">
        <v>1143</v>
      </c>
      <c r="G61" s="25">
        <f>G33/O61</f>
        <v>2.1097605128205132</v>
      </c>
      <c r="H61" s="25">
        <f>H33/O61</f>
        <v>3.1966068376068373</v>
      </c>
      <c r="I61" s="25">
        <f>I33/O61</f>
        <v>4.283453162393161</v>
      </c>
      <c r="J61" s="25">
        <f>J33/O61</f>
        <v>6.393213675213675</v>
      </c>
      <c r="K61" s="25">
        <f t="shared" si="14"/>
        <v>12.78642735042735</v>
      </c>
      <c r="L61" s="25">
        <f t="shared" si="15"/>
        <v>19.179641025641025</v>
      </c>
      <c r="M61" s="25">
        <f t="shared" si="16"/>
        <v>25.5728547008547</v>
      </c>
      <c r="N61" t="s">
        <v>1142</v>
      </c>
      <c r="O61" s="4">
        <v>65</v>
      </c>
      <c r="P61" t="s">
        <v>372</v>
      </c>
    </row>
    <row r="62" spans="7:15" ht="12.75">
      <c r="G62" s="2"/>
      <c r="H62" s="2"/>
      <c r="I62" s="2"/>
      <c r="J62" s="2"/>
      <c r="K62" s="2"/>
      <c r="L62" s="2"/>
      <c r="M62" s="2"/>
      <c r="O62" s="2" t="s">
        <v>816</v>
      </c>
    </row>
    <row r="63" spans="1:15" ht="12.75">
      <c r="A63" t="s">
        <v>401</v>
      </c>
      <c r="O63" s="2" t="s">
        <v>817</v>
      </c>
    </row>
    <row r="64" spans="1:15" ht="12.75">
      <c r="A64" t="s">
        <v>400</v>
      </c>
      <c r="G64" s="2"/>
      <c r="H64" s="2"/>
      <c r="I64" s="2"/>
      <c r="J64" s="2"/>
      <c r="K64" s="3"/>
      <c r="O64" s="2"/>
    </row>
    <row r="65" spans="15:16" ht="12.75">
      <c r="O65" s="2"/>
      <c r="P65" t="s">
        <v>634</v>
      </c>
    </row>
    <row r="66" spans="1:16" ht="12.75">
      <c r="A66" t="s">
        <v>464</v>
      </c>
      <c r="O66" s="2"/>
      <c r="P66" t="s">
        <v>635</v>
      </c>
    </row>
    <row r="67" spans="1:15" ht="12.75">
      <c r="A67" t="s">
        <v>467</v>
      </c>
      <c r="O67" s="2"/>
    </row>
    <row r="68" spans="1:15" ht="12.75">
      <c r="A68" t="s">
        <v>468</v>
      </c>
      <c r="O68" s="2"/>
    </row>
    <row r="69" spans="1:15" ht="12.75">
      <c r="A69" t="s">
        <v>1093</v>
      </c>
      <c r="O69" s="2"/>
    </row>
    <row r="70" ht="12.75">
      <c r="A70" t="s">
        <v>452</v>
      </c>
    </row>
    <row r="71" spans="1:12" ht="12.75">
      <c r="A71" t="s">
        <v>453</v>
      </c>
      <c r="L71" t="s">
        <v>1094</v>
      </c>
    </row>
    <row r="72" spans="1:12" ht="12.75">
      <c r="A72" t="s">
        <v>457</v>
      </c>
      <c r="L72" t="s">
        <v>1104</v>
      </c>
    </row>
    <row r="73" ht="12.75">
      <c r="L73" t="s">
        <v>1095</v>
      </c>
    </row>
    <row r="74" spans="1:12" ht="12.75">
      <c r="A74" t="s">
        <v>429</v>
      </c>
      <c r="L74" t="s">
        <v>469</v>
      </c>
    </row>
    <row r="75" spans="1:12" ht="12.75">
      <c r="A75" t="s">
        <v>432</v>
      </c>
      <c r="L75" t="s">
        <v>423</v>
      </c>
    </row>
    <row r="76" ht="12.75">
      <c r="A76" t="s">
        <v>436</v>
      </c>
    </row>
    <row r="77" spans="1:12" ht="12.75">
      <c r="A77" t="s">
        <v>437</v>
      </c>
      <c r="L77" t="s">
        <v>13</v>
      </c>
    </row>
    <row r="78" spans="1:12" ht="12.75">
      <c r="A78" t="s">
        <v>450</v>
      </c>
      <c r="L78" t="s">
        <v>1106</v>
      </c>
    </row>
    <row r="79" ht="12.75">
      <c r="A79" t="s">
        <v>451</v>
      </c>
    </row>
    <row r="81" ht="12.75">
      <c r="A81" t="s">
        <v>636</v>
      </c>
    </row>
    <row r="82" ht="12.75">
      <c r="A82" t="s">
        <v>640</v>
      </c>
    </row>
    <row r="83" ht="12.75">
      <c r="A83" t="s">
        <v>637</v>
      </c>
    </row>
    <row r="84" ht="12.75">
      <c r="A84" t="s">
        <v>638</v>
      </c>
    </row>
    <row r="85" ht="12.75">
      <c r="L85" t="s">
        <v>1123</v>
      </c>
    </row>
    <row r="86" spans="1:12" ht="12.75">
      <c r="A86" s="11" t="s">
        <v>16</v>
      </c>
      <c r="B86" s="8"/>
      <c r="C86" s="8"/>
      <c r="L86" t="s">
        <v>1107</v>
      </c>
    </row>
    <row r="87" ht="12.75">
      <c r="L87" t="s">
        <v>1108</v>
      </c>
    </row>
    <row r="88" spans="1:12" ht="12.75">
      <c r="A88" t="s">
        <v>1158</v>
      </c>
      <c r="E88" t="s">
        <v>1161</v>
      </c>
      <c r="L88" t="s">
        <v>205</v>
      </c>
    </row>
    <row r="89" spans="1:12" ht="12.75">
      <c r="A89" t="s">
        <v>1159</v>
      </c>
      <c r="C89" t="s">
        <v>1160</v>
      </c>
      <c r="E89" t="s">
        <v>1162</v>
      </c>
      <c r="L89" t="s">
        <v>1097</v>
      </c>
    </row>
    <row r="90" spans="1:12" ht="12.75">
      <c r="A90" s="9"/>
      <c r="E90" s="10"/>
      <c r="G90" s="10"/>
      <c r="L90" t="s">
        <v>1098</v>
      </c>
    </row>
    <row r="91" spans="1:12" ht="12.75">
      <c r="A91" s="9">
        <v>0.1</v>
      </c>
      <c r="C91">
        <v>7000</v>
      </c>
      <c r="E91" s="10">
        <f aca="true" t="shared" si="19" ref="E91:E100">C91/365</f>
        <v>19.17808219178082</v>
      </c>
      <c r="G91" s="10" t="s">
        <v>3</v>
      </c>
      <c r="L91" t="s">
        <v>1110</v>
      </c>
    </row>
    <row r="92" spans="1:12" ht="12.75">
      <c r="A92" s="9">
        <v>0.2</v>
      </c>
      <c r="C92">
        <v>3300</v>
      </c>
      <c r="E92" s="10">
        <f t="shared" si="19"/>
        <v>9.04109589041096</v>
      </c>
      <c r="G92" s="10" t="s">
        <v>2</v>
      </c>
      <c r="L92" t="s">
        <v>1136</v>
      </c>
    </row>
    <row r="93" spans="1:12" ht="12.75">
      <c r="A93" s="9">
        <v>0.3</v>
      </c>
      <c r="C93">
        <v>2050</v>
      </c>
      <c r="E93" s="10">
        <f t="shared" si="19"/>
        <v>5.616438356164384</v>
      </c>
      <c r="G93" s="10"/>
      <c r="L93" t="s">
        <v>1099</v>
      </c>
    </row>
    <row r="94" spans="1:12" ht="12.75">
      <c r="A94" s="9">
        <v>0.4</v>
      </c>
      <c r="C94">
        <v>1475</v>
      </c>
      <c r="E94" s="10">
        <f t="shared" si="19"/>
        <v>4.041095890410959</v>
      </c>
      <c r="G94" s="10"/>
      <c r="L94" t="s">
        <v>1138</v>
      </c>
    </row>
    <row r="95" spans="1:12" ht="12.75">
      <c r="A95" s="9">
        <v>0.5</v>
      </c>
      <c r="C95">
        <v>1150</v>
      </c>
      <c r="E95" s="10">
        <f t="shared" si="19"/>
        <v>3.1506849315068495</v>
      </c>
      <c r="G95" s="10" t="s">
        <v>43</v>
      </c>
      <c r="L95" t="s">
        <v>312</v>
      </c>
    </row>
    <row r="96" spans="1:12" ht="12.75">
      <c r="A96" s="9">
        <v>0.6</v>
      </c>
      <c r="C96">
        <v>950</v>
      </c>
      <c r="E96" s="10">
        <f t="shared" si="19"/>
        <v>2.6027397260273974</v>
      </c>
      <c r="G96" s="10" t="s">
        <v>1168</v>
      </c>
      <c r="L96" t="s">
        <v>1100</v>
      </c>
    </row>
    <row r="97" spans="1:12" ht="12.75">
      <c r="A97" s="9">
        <v>0.7</v>
      </c>
      <c r="C97">
        <v>780</v>
      </c>
      <c r="E97" s="10">
        <f t="shared" si="19"/>
        <v>2.136986301369863</v>
      </c>
      <c r="G97" s="10" t="s">
        <v>1186</v>
      </c>
      <c r="L97" t="s">
        <v>1139</v>
      </c>
    </row>
    <row r="98" spans="1:12" ht="12.75">
      <c r="A98" s="9">
        <v>0.8</v>
      </c>
      <c r="C98">
        <v>675</v>
      </c>
      <c r="E98" s="10">
        <f t="shared" si="19"/>
        <v>1.8493150684931507</v>
      </c>
      <c r="G98" s="10" t="s">
        <v>9</v>
      </c>
      <c r="L98" t="s">
        <v>1140</v>
      </c>
    </row>
    <row r="99" spans="1:12" ht="12.75">
      <c r="A99" s="9">
        <v>0.9</v>
      </c>
      <c r="C99">
        <v>550</v>
      </c>
      <c r="E99" s="10">
        <f t="shared" si="19"/>
        <v>1.5068493150684932</v>
      </c>
      <c r="G99" s="10" t="s">
        <v>1187</v>
      </c>
      <c r="L99" t="s">
        <v>1141</v>
      </c>
    </row>
    <row r="100" spans="1:12" ht="12.75">
      <c r="A100" s="9">
        <v>1</v>
      </c>
      <c r="C100">
        <v>500</v>
      </c>
      <c r="E100" s="10">
        <f t="shared" si="19"/>
        <v>1.36986301369863</v>
      </c>
      <c r="G100" s="10" t="s">
        <v>1188</v>
      </c>
      <c r="L100" t="s">
        <v>206</v>
      </c>
    </row>
    <row r="101" ht="12.75">
      <c r="L101" t="s">
        <v>207</v>
      </c>
    </row>
    <row r="102" spans="1:12" ht="12.75">
      <c r="A102" t="s">
        <v>46</v>
      </c>
      <c r="L102" t="s">
        <v>1101</v>
      </c>
    </row>
    <row r="103" spans="1:12" ht="12.75">
      <c r="A103" t="s">
        <v>47</v>
      </c>
      <c r="L103" t="s">
        <v>1111</v>
      </c>
    </row>
    <row r="104" spans="1:12" ht="12.75">
      <c r="A104" t="s">
        <v>305</v>
      </c>
      <c r="L104" t="s">
        <v>1112</v>
      </c>
    </row>
    <row r="105" spans="1:12" ht="12.75">
      <c r="A105" t="s">
        <v>306</v>
      </c>
      <c r="L105" t="s">
        <v>1117</v>
      </c>
    </row>
    <row r="106" spans="1:12" ht="12.75">
      <c r="A106" t="s">
        <v>307</v>
      </c>
      <c r="L106" t="s">
        <v>1116</v>
      </c>
    </row>
    <row r="107" spans="1:12" ht="12.75">
      <c r="A107" t="s">
        <v>900</v>
      </c>
      <c r="L107" t="s">
        <v>14</v>
      </c>
    </row>
    <row r="108" spans="4:13" ht="12.75">
      <c r="D108" s="1"/>
      <c r="E108" s="1"/>
      <c r="F108" s="1"/>
      <c r="G108" s="1"/>
      <c r="H108" s="1"/>
      <c r="I108" s="1"/>
      <c r="J108" s="1"/>
      <c r="K108" s="1"/>
      <c r="L108" t="s">
        <v>15</v>
      </c>
      <c r="M108" s="1"/>
    </row>
    <row r="109" spans="1:13" ht="12.75">
      <c r="A109" t="s">
        <v>903</v>
      </c>
      <c r="D109" s="2"/>
      <c r="E109" s="2"/>
      <c r="F109" s="4"/>
      <c r="G109" s="2"/>
      <c r="H109" s="2"/>
      <c r="I109" s="2"/>
      <c r="J109" s="2"/>
      <c r="K109" s="2"/>
      <c r="L109" s="2"/>
      <c r="M109" t="s">
        <v>1135</v>
      </c>
    </row>
    <row r="110" spans="1:13" ht="12.75">
      <c r="A110" t="s">
        <v>44</v>
      </c>
      <c r="D110" s="2"/>
      <c r="E110" s="2"/>
      <c r="F110" s="4"/>
      <c r="G110" s="2"/>
      <c r="H110" s="2"/>
      <c r="I110" s="2"/>
      <c r="J110" s="2"/>
      <c r="K110" s="2"/>
      <c r="L110" s="2"/>
      <c r="M110" t="s">
        <v>1124</v>
      </c>
    </row>
    <row r="111" spans="1:13" ht="12.75">
      <c r="A111" t="s">
        <v>308</v>
      </c>
      <c r="D111" s="2"/>
      <c r="E111" s="2"/>
      <c r="F111" s="4"/>
      <c r="G111" s="2"/>
      <c r="H111" s="2"/>
      <c r="I111" s="2"/>
      <c r="J111" s="2"/>
      <c r="K111" s="2"/>
      <c r="L111" s="2"/>
      <c r="M111" t="s">
        <v>30</v>
      </c>
    </row>
    <row r="112" spans="4:13" ht="12.75">
      <c r="D112" s="2"/>
      <c r="E112" s="2"/>
      <c r="F112" s="4"/>
      <c r="G112" s="2"/>
      <c r="H112" s="2"/>
      <c r="I112" s="2"/>
      <c r="J112" s="2"/>
      <c r="K112" s="2"/>
      <c r="L112" s="2"/>
      <c r="M112" t="s">
        <v>31</v>
      </c>
    </row>
    <row r="113" spans="1:13" ht="12.75">
      <c r="A113" t="s">
        <v>471</v>
      </c>
      <c r="D113" s="2"/>
      <c r="E113" s="2"/>
      <c r="F113" s="4"/>
      <c r="G113" s="2"/>
      <c r="H113" s="2"/>
      <c r="I113" s="2"/>
      <c r="J113" s="2"/>
      <c r="K113" s="2"/>
      <c r="L113" s="2"/>
      <c r="M113" t="s">
        <v>1125</v>
      </c>
    </row>
    <row r="114" spans="1:13" ht="12.75">
      <c r="A114" t="s">
        <v>470</v>
      </c>
      <c r="D114" s="2"/>
      <c r="E114" s="2"/>
      <c r="F114" s="4"/>
      <c r="G114" s="2"/>
      <c r="H114" s="2"/>
      <c r="I114" s="2"/>
      <c r="J114" s="2"/>
      <c r="K114" s="2"/>
      <c r="L114" s="2"/>
      <c r="M114" t="s">
        <v>1127</v>
      </c>
    </row>
    <row r="115" spans="1:13" ht="12.75">
      <c r="A115" t="s">
        <v>483</v>
      </c>
      <c r="D115" s="2"/>
      <c r="E115" s="2"/>
      <c r="F115" s="4"/>
      <c r="G115" s="2"/>
      <c r="H115" s="2"/>
      <c r="I115" s="2"/>
      <c r="J115" s="2"/>
      <c r="K115" s="2"/>
      <c r="L115" s="2"/>
      <c r="M115" t="s">
        <v>1128</v>
      </c>
    </row>
    <row r="116" spans="1:13" ht="12.75">
      <c r="A116" t="s">
        <v>484</v>
      </c>
      <c r="D116" s="2"/>
      <c r="E116" s="2"/>
      <c r="F116" s="4"/>
      <c r="G116" s="2"/>
      <c r="H116" s="2"/>
      <c r="I116" s="2"/>
      <c r="J116" s="2"/>
      <c r="K116" s="2"/>
      <c r="L116" s="2"/>
      <c r="M116" t="s">
        <v>32</v>
      </c>
    </row>
    <row r="117" spans="1:13" ht="12.75">
      <c r="A117" t="s">
        <v>486</v>
      </c>
      <c r="D117" s="2"/>
      <c r="E117" s="2"/>
      <c r="F117" s="4"/>
      <c r="G117" s="2"/>
      <c r="H117" s="2"/>
      <c r="I117" s="2"/>
      <c r="J117" s="2"/>
      <c r="K117" s="2"/>
      <c r="L117" s="2"/>
      <c r="M117" t="s">
        <v>1126</v>
      </c>
    </row>
    <row r="118" spans="1:13" ht="12.75">
      <c r="A118" t="s">
        <v>485</v>
      </c>
      <c r="D118" s="2"/>
      <c r="E118" s="2"/>
      <c r="F118" s="4"/>
      <c r="G118" s="2"/>
      <c r="H118" s="2"/>
      <c r="I118" s="2"/>
      <c r="J118" s="2"/>
      <c r="K118" s="2"/>
      <c r="L118" s="2"/>
      <c r="M118" t="s">
        <v>41</v>
      </c>
    </row>
    <row r="119" spans="3:13" ht="12.75">
      <c r="C119" s="2"/>
      <c r="D119" s="2"/>
      <c r="E119" s="2"/>
      <c r="F119" s="4"/>
      <c r="G119" s="2"/>
      <c r="H119" s="2"/>
      <c r="I119" s="2"/>
      <c r="J119" s="2"/>
      <c r="K119" s="2"/>
      <c r="L119" s="2"/>
      <c r="M119" t="s">
        <v>1129</v>
      </c>
    </row>
    <row r="120" spans="1:13" ht="12.75">
      <c r="A120" s="8" t="s">
        <v>49</v>
      </c>
      <c r="C120" s="2"/>
      <c r="D120" s="2"/>
      <c r="E120" s="2"/>
      <c r="F120" s="4"/>
      <c r="G120" s="2"/>
      <c r="H120" s="2"/>
      <c r="I120" s="2"/>
      <c r="J120" s="2"/>
      <c r="K120" s="2"/>
      <c r="L120" s="2"/>
      <c r="M120" t="s">
        <v>631</v>
      </c>
    </row>
    <row r="121" ht="12.75">
      <c r="M121" t="s">
        <v>1131</v>
      </c>
    </row>
    <row r="122" spans="1:13" ht="12.75">
      <c r="A122" s="3">
        <v>210</v>
      </c>
      <c r="B122" t="s">
        <v>57</v>
      </c>
      <c r="M122" t="s">
        <v>1132</v>
      </c>
    </row>
    <row r="123" spans="1:13" ht="12.75">
      <c r="A123" s="3">
        <v>80</v>
      </c>
      <c r="B123" t="s">
        <v>904</v>
      </c>
      <c r="M123" t="s">
        <v>1133</v>
      </c>
    </row>
    <row r="124" spans="1:13" ht="12.75">
      <c r="A124" s="3">
        <v>738</v>
      </c>
      <c r="B124" t="s">
        <v>850</v>
      </c>
      <c r="M124" t="s">
        <v>1134</v>
      </c>
    </row>
    <row r="125" spans="1:13" ht="12.75">
      <c r="A125" s="3">
        <v>175</v>
      </c>
      <c r="B125" t="s">
        <v>851</v>
      </c>
      <c r="M125" t="s">
        <v>208</v>
      </c>
    </row>
    <row r="126" spans="1:13" ht="12.75">
      <c r="A126" s="3">
        <v>330</v>
      </c>
      <c r="B126" t="s">
        <v>487</v>
      </c>
      <c r="M126" t="s">
        <v>210</v>
      </c>
    </row>
    <row r="127" spans="1:13" ht="12.75">
      <c r="A127" s="3">
        <v>210</v>
      </c>
      <c r="B127" t="s">
        <v>21</v>
      </c>
      <c r="M127" t="s">
        <v>209</v>
      </c>
    </row>
    <row r="128" spans="1:13" ht="12.75">
      <c r="A128" s="3">
        <v>35</v>
      </c>
      <c r="B128" t="s">
        <v>872</v>
      </c>
      <c r="M128" t="s">
        <v>309</v>
      </c>
    </row>
    <row r="129" spans="2:13" ht="12.75">
      <c r="B129" t="s">
        <v>873</v>
      </c>
      <c r="M129" t="s">
        <v>310</v>
      </c>
    </row>
    <row r="130" spans="1:13" ht="12.75">
      <c r="A130" s="3">
        <f>SUM(A122:A128)</f>
        <v>1778</v>
      </c>
      <c r="B130" t="s">
        <v>880</v>
      </c>
      <c r="M130" t="s">
        <v>311</v>
      </c>
    </row>
    <row r="132" spans="2:12" ht="12.75">
      <c r="B132" t="s">
        <v>24</v>
      </c>
      <c r="L132" s="3"/>
    </row>
    <row r="133" spans="2:13" ht="12.75">
      <c r="B133" t="s">
        <v>48</v>
      </c>
      <c r="L133" s="3"/>
      <c r="M133" t="s">
        <v>321</v>
      </c>
    </row>
    <row r="134" spans="2:13" ht="12.75">
      <c r="B134" t="s">
        <v>25</v>
      </c>
      <c r="M134" t="s">
        <v>322</v>
      </c>
    </row>
    <row r="135" spans="2:13" ht="12.75">
      <c r="B135" t="s">
        <v>28</v>
      </c>
      <c r="M135" t="s">
        <v>323</v>
      </c>
    </row>
    <row r="136" spans="2:13" ht="12.75">
      <c r="B136" t="s">
        <v>50</v>
      </c>
      <c r="M136" t="s">
        <v>332</v>
      </c>
    </row>
    <row r="137" spans="2:13" ht="12.75">
      <c r="B137" t="s">
        <v>29</v>
      </c>
      <c r="M137" t="s">
        <v>320</v>
      </c>
    </row>
    <row r="138" ht="12.75">
      <c r="B138" t="s">
        <v>51</v>
      </c>
    </row>
    <row r="139" spans="2:13" ht="12.75">
      <c r="B139" t="s">
        <v>488</v>
      </c>
      <c r="M139" t="s">
        <v>264</v>
      </c>
    </row>
    <row r="140" ht="12.75">
      <c r="M140" s="21" t="s">
        <v>263</v>
      </c>
    </row>
    <row r="141" spans="2:13" ht="12.75">
      <c r="B141" t="s">
        <v>52</v>
      </c>
      <c r="M141" t="s">
        <v>313</v>
      </c>
    </row>
    <row r="142" spans="2:13" ht="12.75">
      <c r="B142" t="s">
        <v>53</v>
      </c>
      <c r="M142" t="s">
        <v>265</v>
      </c>
    </row>
    <row r="143" spans="2:13" ht="12.75">
      <c r="B143" t="s">
        <v>55</v>
      </c>
      <c r="G143" s="2"/>
      <c r="H143" s="2"/>
      <c r="I143" s="2"/>
      <c r="J143" s="2"/>
      <c r="K143" s="2"/>
      <c r="L143" s="2"/>
      <c r="M143" t="s">
        <v>267</v>
      </c>
    </row>
    <row r="144" spans="2:12" ht="12.75">
      <c r="B144" t="s">
        <v>56</v>
      </c>
      <c r="G144" s="2"/>
      <c r="H144" s="2"/>
      <c r="I144" s="2"/>
      <c r="J144" s="2"/>
      <c r="K144" s="2"/>
      <c r="L144" s="2"/>
    </row>
    <row r="145" ht="12.75">
      <c r="M145" t="s">
        <v>338</v>
      </c>
    </row>
    <row r="146" spans="2:13" ht="12.75">
      <c r="B146" t="s">
        <v>62</v>
      </c>
      <c r="M146" t="s">
        <v>336</v>
      </c>
    </row>
    <row r="147" spans="2:13" ht="12.75">
      <c r="B147" t="s">
        <v>65</v>
      </c>
      <c r="M147" t="s">
        <v>337</v>
      </c>
    </row>
    <row r="148" spans="2:13" ht="12.75">
      <c r="B148" t="s">
        <v>117</v>
      </c>
      <c r="M148" t="s">
        <v>339</v>
      </c>
    </row>
    <row r="149" spans="2:13" ht="12.75">
      <c r="B149" t="s">
        <v>163</v>
      </c>
      <c r="M149" t="s">
        <v>340</v>
      </c>
    </row>
    <row r="150" spans="2:13" ht="12.75">
      <c r="B150" t="s">
        <v>165</v>
      </c>
      <c r="M150" t="s">
        <v>342</v>
      </c>
    </row>
    <row r="151" ht="12.75">
      <c r="M151" t="s">
        <v>344</v>
      </c>
    </row>
    <row r="152" spans="2:13" ht="12.75">
      <c r="B152" t="s">
        <v>125</v>
      </c>
      <c r="M152" t="s">
        <v>345</v>
      </c>
    </row>
    <row r="153" spans="2:13" ht="12.75">
      <c r="B153" t="s">
        <v>126</v>
      </c>
      <c r="M153" t="s">
        <v>346</v>
      </c>
    </row>
    <row r="155" spans="2:16" ht="12.75">
      <c r="B155" t="s">
        <v>852</v>
      </c>
      <c r="I155" s="17"/>
      <c r="P155" s="20" t="s">
        <v>366</v>
      </c>
    </row>
    <row r="156" spans="2:17" ht="12.75">
      <c r="B156" t="s">
        <v>629</v>
      </c>
      <c r="O156" t="s">
        <v>925</v>
      </c>
      <c r="P156" s="20"/>
      <c r="Q156" t="s">
        <v>924</v>
      </c>
    </row>
    <row r="157" spans="2:17" ht="12.75">
      <c r="B157" t="s">
        <v>630</v>
      </c>
      <c r="P157" t="s">
        <v>892</v>
      </c>
      <c r="Q157">
        <v>3.34</v>
      </c>
    </row>
    <row r="158" ht="12.75">
      <c r="B158" t="s">
        <v>489</v>
      </c>
    </row>
    <row r="159" spans="2:17" ht="12.75">
      <c r="B159" t="s">
        <v>211</v>
      </c>
      <c r="P159" t="s">
        <v>255</v>
      </c>
      <c r="Q159">
        <v>5.19</v>
      </c>
    </row>
    <row r="160" ht="12.75">
      <c r="B160" t="s">
        <v>128</v>
      </c>
    </row>
    <row r="161" spans="2:16" ht="12.75">
      <c r="B161" t="s">
        <v>212</v>
      </c>
      <c r="P161" t="s">
        <v>368</v>
      </c>
    </row>
    <row r="162" ht="12.75">
      <c r="B162" t="s">
        <v>129</v>
      </c>
    </row>
    <row r="163" spans="2:16" ht="12.75">
      <c r="B163" t="s">
        <v>216</v>
      </c>
      <c r="P163" t="s">
        <v>893</v>
      </c>
    </row>
    <row r="164" spans="2:16" ht="12.75">
      <c r="B164" t="s">
        <v>139</v>
      </c>
      <c r="P164" t="s">
        <v>262</v>
      </c>
    </row>
    <row r="165" spans="2:16" ht="12.75">
      <c r="B165" t="s">
        <v>140</v>
      </c>
      <c r="P165" t="s">
        <v>367</v>
      </c>
    </row>
    <row r="166" ht="12.75">
      <c r="B166" t="s">
        <v>217</v>
      </c>
    </row>
    <row r="167" spans="2:16" ht="12.75">
      <c r="B167" t="s">
        <v>143</v>
      </c>
      <c r="P167" t="s">
        <v>245</v>
      </c>
    </row>
    <row r="168" spans="2:16" ht="12.75">
      <c r="B168" t="s">
        <v>144</v>
      </c>
      <c r="P168" t="s">
        <v>246</v>
      </c>
    </row>
    <row r="169" ht="12.75">
      <c r="P169" t="s">
        <v>290</v>
      </c>
    </row>
    <row r="170" spans="2:16" ht="12.75">
      <c r="B170" t="s">
        <v>287</v>
      </c>
      <c r="P170" t="s">
        <v>291</v>
      </c>
    </row>
    <row r="171" ht="12.75">
      <c r="B171" t="s">
        <v>167</v>
      </c>
    </row>
    <row r="172" spans="2:13" ht="12.75">
      <c r="B172" t="s">
        <v>166</v>
      </c>
      <c r="L172" t="s">
        <v>925</v>
      </c>
      <c r="M172" t="s">
        <v>927</v>
      </c>
    </row>
    <row r="173" spans="2:13" ht="12.75">
      <c r="B173" t="s">
        <v>288</v>
      </c>
      <c r="M173" t="s">
        <v>263</v>
      </c>
    </row>
    <row r="174" ht="12.75">
      <c r="B174" t="s">
        <v>314</v>
      </c>
    </row>
    <row r="175" ht="12.75">
      <c r="B175" t="s">
        <v>315</v>
      </c>
    </row>
    <row r="177" spans="2:15" ht="12.75">
      <c r="B177" t="s">
        <v>182</v>
      </c>
      <c r="G177" t="s">
        <v>204</v>
      </c>
      <c r="O177" t="s">
        <v>235</v>
      </c>
    </row>
    <row r="178" spans="2:15" ht="12.75">
      <c r="B178" t="s">
        <v>184</v>
      </c>
      <c r="C178" t="s">
        <v>183</v>
      </c>
      <c r="D178" t="s">
        <v>185</v>
      </c>
      <c r="E178" t="s">
        <v>189</v>
      </c>
      <c r="G178" t="s">
        <v>203</v>
      </c>
      <c r="K178" t="s">
        <v>219</v>
      </c>
      <c r="O178" t="s">
        <v>236</v>
      </c>
    </row>
    <row r="179" spans="1:13" ht="12.75">
      <c r="A179" t="s">
        <v>186</v>
      </c>
      <c r="B179">
        <v>17.5</v>
      </c>
      <c r="C179">
        <v>5.5</v>
      </c>
      <c r="D179">
        <v>2</v>
      </c>
      <c r="E179">
        <f>B179*D179</f>
        <v>35</v>
      </c>
      <c r="G179" s="10">
        <f>(B179*D179)/13*C179*0.9</f>
        <v>13.326923076923078</v>
      </c>
      <c r="K179" t="s">
        <v>199</v>
      </c>
      <c r="L179" t="s">
        <v>200</v>
      </c>
      <c r="M179" t="s">
        <v>201</v>
      </c>
    </row>
    <row r="180" spans="1:15" ht="12.75">
      <c r="A180" t="s">
        <v>187</v>
      </c>
      <c r="B180">
        <v>18</v>
      </c>
      <c r="C180">
        <v>5.5</v>
      </c>
      <c r="D180">
        <v>1</v>
      </c>
      <c r="E180">
        <f>B180*D180</f>
        <v>18</v>
      </c>
      <c r="G180" s="10">
        <f>(B180*D180)/13*C180*0.9</f>
        <v>6.8538461538461535</v>
      </c>
      <c r="K180">
        <v>17.5</v>
      </c>
      <c r="L180">
        <v>5.5</v>
      </c>
      <c r="M180">
        <f aca="true" t="shared" si="20" ref="M180:M187">K180*L180</f>
        <v>96.25</v>
      </c>
      <c r="O180" t="s">
        <v>218</v>
      </c>
    </row>
    <row r="181" spans="1:15" ht="12.75">
      <c r="A181" t="s">
        <v>188</v>
      </c>
      <c r="B181">
        <v>18</v>
      </c>
      <c r="C181">
        <v>5.5</v>
      </c>
      <c r="D181">
        <v>1</v>
      </c>
      <c r="E181">
        <f>B181*D181</f>
        <v>18</v>
      </c>
      <c r="G181" s="10">
        <f>(B181*D181)/13*C181*0.9</f>
        <v>6.8538461538461535</v>
      </c>
      <c r="K181">
        <v>18</v>
      </c>
      <c r="L181">
        <v>5.5</v>
      </c>
      <c r="M181">
        <f t="shared" si="20"/>
        <v>99</v>
      </c>
      <c r="O181" t="s">
        <v>218</v>
      </c>
    </row>
    <row r="182" spans="11:15" ht="12.75">
      <c r="K182">
        <v>17.5</v>
      </c>
      <c r="L182">
        <v>11</v>
      </c>
      <c r="M182">
        <f t="shared" si="20"/>
        <v>192.5</v>
      </c>
      <c r="O182" t="s">
        <v>220</v>
      </c>
    </row>
    <row r="183" spans="11:15" ht="12.75">
      <c r="K183">
        <v>18</v>
      </c>
      <c r="L183">
        <v>11</v>
      </c>
      <c r="M183">
        <f t="shared" si="20"/>
        <v>198</v>
      </c>
      <c r="O183" t="s">
        <v>220</v>
      </c>
    </row>
    <row r="184" spans="11:15" ht="12.75">
      <c r="K184">
        <v>35</v>
      </c>
      <c r="L184">
        <v>5.5</v>
      </c>
      <c r="M184">
        <f t="shared" si="20"/>
        <v>192.5</v>
      </c>
      <c r="O184" t="s">
        <v>221</v>
      </c>
    </row>
    <row r="185" spans="11:15" ht="12.75">
      <c r="K185">
        <v>35</v>
      </c>
      <c r="L185">
        <v>11</v>
      </c>
      <c r="M185">
        <f t="shared" si="20"/>
        <v>385</v>
      </c>
      <c r="O185" t="s">
        <v>237</v>
      </c>
    </row>
    <row r="186" spans="1:15" ht="12.75">
      <c r="A186" t="s">
        <v>316</v>
      </c>
      <c r="E186">
        <f>SUM(E179:E183)</f>
        <v>71</v>
      </c>
      <c r="G186" s="10">
        <f>E186/13*C179*0.9</f>
        <v>27.034615384615385</v>
      </c>
      <c r="H186" s="10"/>
      <c r="K186">
        <v>53</v>
      </c>
      <c r="L186">
        <v>5.5</v>
      </c>
      <c r="M186">
        <f t="shared" si="20"/>
        <v>291.5</v>
      </c>
      <c r="O186" t="s">
        <v>225</v>
      </c>
    </row>
    <row r="187" spans="11:15" ht="12.75">
      <c r="K187">
        <v>71</v>
      </c>
      <c r="L187">
        <v>5.5</v>
      </c>
      <c r="M187">
        <f t="shared" si="20"/>
        <v>390.5</v>
      </c>
      <c r="O187" t="s">
        <v>238</v>
      </c>
    </row>
    <row r="188" ht="12.75">
      <c r="P188" t="s">
        <v>239</v>
      </c>
    </row>
    <row r="189" spans="11:16" ht="12.75">
      <c r="K189" t="s">
        <v>853</v>
      </c>
      <c r="P189" t="s">
        <v>240</v>
      </c>
    </row>
    <row r="190" spans="3:16" ht="12.75">
      <c r="C190" s="8" t="s">
        <v>795</v>
      </c>
      <c r="E190">
        <v>450</v>
      </c>
      <c r="G190" t="s">
        <v>803</v>
      </c>
      <c r="K190">
        <v>32</v>
      </c>
      <c r="L190">
        <v>5</v>
      </c>
      <c r="M190">
        <f>K190*L190</f>
        <v>160</v>
      </c>
      <c r="P190" t="s">
        <v>241</v>
      </c>
    </row>
    <row r="191" spans="3:13" ht="12.75">
      <c r="C191" s="8" t="s">
        <v>796</v>
      </c>
      <c r="E191">
        <v>390</v>
      </c>
      <c r="G191" t="s">
        <v>804</v>
      </c>
      <c r="K191">
        <v>48</v>
      </c>
      <c r="L191">
        <v>5</v>
      </c>
      <c r="M191">
        <f>K191*L191</f>
        <v>240</v>
      </c>
    </row>
    <row r="192" spans="3:13" ht="12.75">
      <c r="C192" s="8" t="s">
        <v>797</v>
      </c>
      <c r="E192" s="2">
        <f>E190/E191</f>
        <v>1.1538461538461537</v>
      </c>
      <c r="G192" t="s">
        <v>805</v>
      </c>
      <c r="K192">
        <v>60</v>
      </c>
      <c r="L192">
        <v>5</v>
      </c>
      <c r="M192">
        <f>K192*L192</f>
        <v>300</v>
      </c>
    </row>
    <row r="193" spans="11:13" ht="12.75">
      <c r="K193">
        <v>72</v>
      </c>
      <c r="L193">
        <v>5</v>
      </c>
      <c r="M193">
        <f>K193*L193</f>
        <v>360</v>
      </c>
    </row>
    <row r="194" spans="3:14" ht="12.75">
      <c r="C194" s="8" t="s">
        <v>800</v>
      </c>
      <c r="H194" s="33">
        <f>E190</f>
        <v>450</v>
      </c>
      <c r="I194" s="32" t="s">
        <v>798</v>
      </c>
      <c r="J194" s="2"/>
      <c r="K194" s="2"/>
      <c r="L194" s="2"/>
      <c r="M194" s="2"/>
      <c r="N194" s="10"/>
    </row>
    <row r="195" spans="1:13" ht="12.75">
      <c r="A195" s="15"/>
      <c r="C195" t="s">
        <v>414</v>
      </c>
      <c r="E195" t="s">
        <v>799</v>
      </c>
      <c r="G195" s="2" t="s">
        <v>628</v>
      </c>
      <c r="H195" s="2"/>
      <c r="I195" s="2"/>
      <c r="J195" s="2"/>
      <c r="K195" s="2"/>
      <c r="L195" s="2"/>
      <c r="M195" s="2"/>
    </row>
    <row r="196" spans="3:16" ht="12.75">
      <c r="C196" t="s">
        <v>373</v>
      </c>
      <c r="E196">
        <f>E190*0.73</f>
        <v>328.5</v>
      </c>
      <c r="F196" t="s">
        <v>201</v>
      </c>
      <c r="G196" s="2">
        <f>G$33/$O$196</f>
        <v>6.029926038671854</v>
      </c>
      <c r="H196" s="2">
        <f>H$33/$O$196</f>
        <v>9.13625157374523</v>
      </c>
      <c r="I196" s="2">
        <f>I$33/$O$196</f>
        <v>12.242577108818606</v>
      </c>
      <c r="J196" s="2">
        <f>J$33/$O$196</f>
        <v>18.27250314749046</v>
      </c>
      <c r="K196" s="2">
        <f>J196*2</f>
        <v>36.54500629498092</v>
      </c>
      <c r="L196" s="2">
        <f>J196*3</f>
        <v>54.81750944247138</v>
      </c>
      <c r="M196" s="2">
        <f>J196*4</f>
        <v>73.09001258996184</v>
      </c>
      <c r="N196" t="s">
        <v>1142</v>
      </c>
      <c r="O196">
        <f>E196/13*0.9</f>
        <v>22.742307692307694</v>
      </c>
      <c r="P196" t="s">
        <v>370</v>
      </c>
    </row>
    <row r="197" spans="3:16" ht="12.75">
      <c r="C197" t="s">
        <v>399</v>
      </c>
      <c r="E197">
        <f>E190*0.73</f>
        <v>328.5</v>
      </c>
      <c r="F197" t="s">
        <v>201</v>
      </c>
      <c r="G197" s="2">
        <f>G$33/$O$196</f>
        <v>6.029926038671854</v>
      </c>
      <c r="H197" s="2">
        <f>H$33/$O197</f>
        <v>9.13625157374523</v>
      </c>
      <c r="I197" s="2">
        <f>I$33/$O197</f>
        <v>12.242577108818606</v>
      </c>
      <c r="J197" s="2">
        <f>J$33/$O197</f>
        <v>18.27250314749046</v>
      </c>
      <c r="K197" s="2">
        <f>J197*2</f>
        <v>36.54500629498092</v>
      </c>
      <c r="L197" s="2">
        <f>J197*3</f>
        <v>54.81750944247138</v>
      </c>
      <c r="M197" s="2">
        <f>J197*4</f>
        <v>73.09001258996184</v>
      </c>
      <c r="N197" t="s">
        <v>1142</v>
      </c>
      <c r="O197">
        <f>E197/13*0.9</f>
        <v>22.742307692307694</v>
      </c>
      <c r="P197" t="s">
        <v>370</v>
      </c>
    </row>
    <row r="198" spans="3:18" ht="12.75">
      <c r="C198" t="s">
        <v>373</v>
      </c>
      <c r="E198">
        <f>E190*2*0.73</f>
        <v>657</v>
      </c>
      <c r="F198" t="s">
        <v>201</v>
      </c>
      <c r="G198" s="2">
        <f>G$33/$O$198</f>
        <v>3.014963019335927</v>
      </c>
      <c r="H198" s="2">
        <f aca="true" t="shared" si="21" ref="H198:J199">H$33/$O$198</f>
        <v>4.568125786872615</v>
      </c>
      <c r="I198" s="2">
        <f t="shared" si="21"/>
        <v>6.121288554409303</v>
      </c>
      <c r="J198" s="2">
        <f t="shared" si="21"/>
        <v>9.13625157374523</v>
      </c>
      <c r="K198" s="2">
        <f>J198*2</f>
        <v>18.27250314749046</v>
      </c>
      <c r="L198" s="2">
        <f>J198*3</f>
        <v>27.40875472123569</v>
      </c>
      <c r="M198" s="2">
        <f>J198*4</f>
        <v>36.54500629498092</v>
      </c>
      <c r="N198" t="s">
        <v>1142</v>
      </c>
      <c r="O198">
        <f>E198/13*0.9</f>
        <v>45.48461538461539</v>
      </c>
      <c r="R198" s="20" t="s">
        <v>366</v>
      </c>
    </row>
    <row r="199" spans="3:19" ht="12.75">
      <c r="C199" t="s">
        <v>399</v>
      </c>
      <c r="E199">
        <f>E190*2*0.73</f>
        <v>657</v>
      </c>
      <c r="F199" t="s">
        <v>201</v>
      </c>
      <c r="G199" s="2">
        <f>G$33/$O$198</f>
        <v>3.014963019335927</v>
      </c>
      <c r="H199" s="2">
        <f t="shared" si="21"/>
        <v>4.568125786872615</v>
      </c>
      <c r="I199" s="2">
        <f t="shared" si="21"/>
        <v>6.121288554409303</v>
      </c>
      <c r="J199" s="2">
        <f t="shared" si="21"/>
        <v>9.13625157374523</v>
      </c>
      <c r="K199" s="2">
        <f>J199*2</f>
        <v>18.27250314749046</v>
      </c>
      <c r="L199" s="2">
        <f>J199*3</f>
        <v>27.40875472123569</v>
      </c>
      <c r="M199" s="2">
        <f>J199*4</f>
        <v>36.54500629498092</v>
      </c>
      <c r="N199" t="s">
        <v>1142</v>
      </c>
      <c r="O199">
        <f>E199/13*0.9</f>
        <v>45.48461538461539</v>
      </c>
      <c r="Q199" t="s">
        <v>491</v>
      </c>
      <c r="R199" t="s">
        <v>254</v>
      </c>
      <c r="S199" s="10">
        <f>Q157*E192</f>
        <v>3.8538461538461535</v>
      </c>
    </row>
    <row r="200" spans="7:19" ht="12.75">
      <c r="G200" s="2"/>
      <c r="H200" s="2"/>
      <c r="I200" s="2"/>
      <c r="J200" s="2"/>
      <c r="K200" s="2"/>
      <c r="L200" s="2"/>
      <c r="M200" s="2"/>
      <c r="Q200" t="s">
        <v>492</v>
      </c>
      <c r="R200" t="s">
        <v>255</v>
      </c>
      <c r="S200" s="10">
        <f>Q159*E192</f>
        <v>5.9884615384615385</v>
      </c>
    </row>
    <row r="201" spans="7:17" ht="12.75">
      <c r="G201" s="2"/>
      <c r="H201" s="2"/>
      <c r="I201" s="2"/>
      <c r="J201" s="2"/>
      <c r="K201" s="2"/>
      <c r="L201" s="2"/>
      <c r="M201" s="2"/>
      <c r="Q201" t="s">
        <v>493</v>
      </c>
    </row>
    <row r="202" spans="7:13" ht="12.75">
      <c r="G202" s="2"/>
      <c r="H202" s="2"/>
      <c r="I202" s="2"/>
      <c r="J202" s="2"/>
      <c r="K202" s="2"/>
      <c r="L202" s="2"/>
      <c r="M202" s="2"/>
    </row>
    <row r="203" spans="2:13" ht="12.75">
      <c r="B203" s="8" t="s">
        <v>527</v>
      </c>
      <c r="G203" s="2"/>
      <c r="H203" s="2"/>
      <c r="I203" s="2"/>
      <c r="J203" s="2"/>
      <c r="K203" s="2"/>
      <c r="L203" s="2"/>
      <c r="M203" s="2"/>
    </row>
    <row r="204" spans="2:13" ht="12.75">
      <c r="B204" s="23" t="s">
        <v>515</v>
      </c>
      <c r="G204" s="2"/>
      <c r="H204" s="2"/>
      <c r="I204" s="2"/>
      <c r="J204" s="2"/>
      <c r="K204" s="2"/>
      <c r="L204" s="2"/>
      <c r="M204" s="2"/>
    </row>
    <row r="205" spans="2:13" ht="12.75">
      <c r="B205" t="s">
        <v>516</v>
      </c>
      <c r="G205" s="2"/>
      <c r="H205" s="2"/>
      <c r="I205" s="2"/>
      <c r="J205" s="2"/>
      <c r="K205" s="2"/>
      <c r="L205" s="2"/>
      <c r="M205" s="2"/>
    </row>
    <row r="206" spans="2:13" ht="12.75">
      <c r="B206" t="s">
        <v>494</v>
      </c>
      <c r="G206" s="2"/>
      <c r="H206" s="2"/>
      <c r="I206" s="2"/>
      <c r="J206" s="2"/>
      <c r="K206" s="2"/>
      <c r="L206" s="2"/>
      <c r="M206" s="2"/>
    </row>
    <row r="207" spans="2:13" ht="12.75">
      <c r="B207" t="s">
        <v>497</v>
      </c>
      <c r="G207" s="2"/>
      <c r="H207" s="2"/>
      <c r="I207" s="2"/>
      <c r="J207" s="2"/>
      <c r="K207" s="2"/>
      <c r="L207" s="2"/>
      <c r="M207" s="2"/>
    </row>
    <row r="208" spans="2:13" ht="12.75">
      <c r="B208" t="s">
        <v>498</v>
      </c>
      <c r="G208" s="2"/>
      <c r="H208" s="2"/>
      <c r="I208" s="2"/>
      <c r="J208" s="2"/>
      <c r="K208" s="2"/>
      <c r="L208" s="2"/>
      <c r="M208" s="2"/>
    </row>
    <row r="209" spans="7:13" ht="12.75">
      <c r="G209" s="2"/>
      <c r="H209" s="2"/>
      <c r="I209" s="2"/>
      <c r="J209" s="2"/>
      <c r="K209" s="2"/>
      <c r="L209" s="2"/>
      <c r="M209" s="2"/>
    </row>
    <row r="210" spans="2:15" ht="12.75">
      <c r="B210" t="s">
        <v>499</v>
      </c>
      <c r="G210" s="2"/>
      <c r="H210" s="2"/>
      <c r="I210" s="2"/>
      <c r="J210" s="2"/>
      <c r="K210" s="2"/>
      <c r="L210" s="2"/>
      <c r="M210" s="2"/>
      <c r="O210" s="4"/>
    </row>
    <row r="211" ht="12.75">
      <c r="B211" t="s">
        <v>501</v>
      </c>
    </row>
    <row r="213" ht="12.75">
      <c r="B213" s="23" t="s">
        <v>518</v>
      </c>
    </row>
    <row r="214" ht="12.75">
      <c r="B214" s="23" t="s">
        <v>520</v>
      </c>
    </row>
    <row r="215" ht="12.75">
      <c r="B215" s="23" t="s">
        <v>517</v>
      </c>
    </row>
    <row r="216" ht="12.75">
      <c r="B216" s="23"/>
    </row>
    <row r="217" ht="12.75">
      <c r="B217" s="23" t="s">
        <v>521</v>
      </c>
    </row>
    <row r="218" ht="12.75">
      <c r="B218" t="s">
        <v>526</v>
      </c>
    </row>
    <row r="219" ht="12.75">
      <c r="B219" t="s">
        <v>522</v>
      </c>
    </row>
    <row r="221" ht="12.75">
      <c r="B221" t="s">
        <v>502</v>
      </c>
    </row>
    <row r="223" ht="12.75">
      <c r="B223" t="s">
        <v>528</v>
      </c>
    </row>
    <row r="224" ht="12.75">
      <c r="B224" t="s">
        <v>854</v>
      </c>
    </row>
    <row r="225" ht="12.75">
      <c r="B225" t="s">
        <v>868</v>
      </c>
    </row>
    <row r="226" ht="12.75">
      <c r="B226" t="s">
        <v>867</v>
      </c>
    </row>
    <row r="227" ht="12.75">
      <c r="B227" t="s">
        <v>540</v>
      </c>
    </row>
    <row r="228" ht="12.75">
      <c r="B228" t="s">
        <v>539</v>
      </c>
    </row>
    <row r="229" ht="12.75">
      <c r="B229" t="s">
        <v>869</v>
      </c>
    </row>
    <row r="230" ht="12.75">
      <c r="B230" t="s">
        <v>541</v>
      </c>
    </row>
    <row r="232" ht="12.75">
      <c r="B232" t="s">
        <v>642</v>
      </c>
    </row>
    <row r="233" ht="12.75">
      <c r="B233" t="s">
        <v>643</v>
      </c>
    </row>
    <row r="234" ht="12.75">
      <c r="B234" t="s">
        <v>644</v>
      </c>
    </row>
    <row r="235" ht="12.75">
      <c r="B235" t="s">
        <v>647</v>
      </c>
    </row>
    <row r="236" ht="12.75">
      <c r="B236" t="s">
        <v>648</v>
      </c>
    </row>
    <row r="237" ht="12.75">
      <c r="B237" t="s">
        <v>650</v>
      </c>
    </row>
    <row r="238" ht="12.75">
      <c r="B238" t="s">
        <v>649</v>
      </c>
    </row>
    <row r="244" ht="12.75">
      <c r="A244" t="s">
        <v>20</v>
      </c>
    </row>
  </sheetData>
  <sheetProtection/>
  <conditionalFormatting sqref="H34:M34">
    <cfRule type="expression" priority="1" dxfId="0" stopIfTrue="1">
      <formula>H30&lt;=$O$15</formula>
    </cfRule>
    <cfRule type="expression" priority="2" dxfId="4" stopIfTrue="1">
      <formula>H30&gt;$O$15</formula>
    </cfRule>
  </conditionalFormatting>
  <conditionalFormatting sqref="G34 G62:M62">
    <cfRule type="expression" priority="3" dxfId="0" stopIfTrue="1">
      <formula>G$30&lt;=$O$15</formula>
    </cfRule>
    <cfRule type="expression" priority="4" dxfId="4" stopIfTrue="1">
      <formula>G$30&gt;$O$15</formula>
    </cfRule>
  </conditionalFormatting>
  <conditionalFormatting sqref="B29">
    <cfRule type="cellIs" priority="5" dxfId="4" operator="greaterThan" stopIfTrue="1">
      <formula>$O$17</formula>
    </cfRule>
  </conditionalFormatting>
  <conditionalFormatting sqref="J194:N194">
    <cfRule type="cellIs" priority="6" dxfId="4" operator="greaterThan" stopIfTrue="1">
      <formula>$Q$157</formula>
    </cfRule>
  </conditionalFormatting>
  <conditionalFormatting sqref="G30:M30">
    <cfRule type="cellIs" priority="7" dxfId="4" operator="greaterThan" stopIfTrue="1">
      <formula>$O$15</formula>
    </cfRule>
    <cfRule type="cellIs" priority="8" dxfId="5" operator="lessThanOrEqual" stopIfTrue="1">
      <formula>$O$15</formula>
    </cfRule>
  </conditionalFormatting>
  <conditionalFormatting sqref="G61:M61">
    <cfRule type="cellIs" priority="9" dxfId="0" operator="lessThan" stopIfTrue="1">
      <formula>24</formula>
    </cfRule>
    <cfRule type="cellIs" priority="10" dxfId="4" operator="greaterThanOrEqual" stopIfTrue="1">
      <formula>24</formula>
    </cfRule>
  </conditionalFormatting>
  <conditionalFormatting sqref="G60:M60">
    <cfRule type="cellIs" priority="11" dxfId="0" operator="lessThanOrEqual" stopIfTrue="1">
      <formula>$Q$159</formula>
    </cfRule>
    <cfRule type="cellIs" priority="12" dxfId="4" operator="greaterThan" stopIfTrue="1">
      <formula>$Q$159</formula>
    </cfRule>
  </conditionalFormatting>
  <conditionalFormatting sqref="G38:M39 G42:M43 G46:M47 G50:M51 G58:M59 G54:M55">
    <cfRule type="cellIs" priority="13" dxfId="0" operator="lessThanOrEqual" stopIfTrue="1">
      <formula>$Q$159</formula>
    </cfRule>
    <cfRule type="cellIs" priority="14" dxfId="12" operator="greaterThan" stopIfTrue="1">
      <formula>$Q$159</formula>
    </cfRule>
  </conditionalFormatting>
  <conditionalFormatting sqref="G40:M41 G44:M45 G48:M49 G52:M53 G56:M57 G36:M37">
    <cfRule type="cellIs" priority="15" dxfId="0" operator="lessThanOrEqual" stopIfTrue="1">
      <formula>$Q$157</formula>
    </cfRule>
    <cfRule type="cellIs" priority="16" dxfId="10" operator="greaterThan" stopIfTrue="1">
      <formula>$Q$157</formula>
    </cfRule>
  </conditionalFormatting>
  <conditionalFormatting sqref="G196:M196 G198:M198">
    <cfRule type="cellIs" priority="17" dxfId="5" operator="lessThanOrEqual" stopIfTrue="1">
      <formula>$S$199</formula>
    </cfRule>
    <cfRule type="cellIs" priority="18" dxfId="10" operator="greaterThan" stopIfTrue="1">
      <formula>$S$199</formula>
    </cfRule>
  </conditionalFormatting>
  <conditionalFormatting sqref="G197:M197 G199:M199">
    <cfRule type="cellIs" priority="19" dxfId="5" operator="lessThanOrEqual" stopIfTrue="1">
      <formula>$S$200</formula>
    </cfRule>
    <cfRule type="cellIs" priority="20" dxfId="10" operator="greaterThan" stopIfTrue="1">
      <formula>$S$200</formula>
    </cfRule>
  </conditionalFormatting>
  <conditionalFormatting sqref="J32">
    <cfRule type="cellIs" priority="21" dxfId="27" operator="greaterThanOrEqual" stopIfTrue="1">
      <formula>80</formula>
    </cfRule>
  </conditionalFormatting>
  <conditionalFormatting sqref="K32:M32">
    <cfRule type="cellIs" priority="22" dxfId="3" operator="greaterThanOrEqual" stopIfTrue="1">
      <formula>80</formula>
    </cfRule>
  </conditionalFormatting>
  <conditionalFormatting sqref="G31:M31">
    <cfRule type="cellIs" priority="23" dxfId="4" operator="greaterThan" stopIfTrue="1">
      <formula>$F$31</formula>
    </cfRule>
  </conditionalFormatting>
  <hyperlinks>
    <hyperlink ref="M140" r:id="rId1" display="http://www.solarelectricityhandbook.com/solar-irradiance.aspx"/>
  </hyperlinks>
  <printOptions/>
  <pageMargins left="0.75" right="0.75" top="1" bottom="1" header="0.5" footer="0.5"/>
  <pageSetup orientation="portrait" r:id="rId2"/>
  <ignoredErrors>
    <ignoredError sqref="K33:M33 G38:J38 G40:J40 G42:J42 G44:J57 G58:J58" formula="1"/>
  </ignoredErrors>
</worksheet>
</file>

<file path=xl/worksheets/sheet10.xml><?xml version="1.0" encoding="utf-8"?>
<worksheet xmlns="http://schemas.openxmlformats.org/spreadsheetml/2006/main" xmlns:r="http://schemas.openxmlformats.org/officeDocument/2006/relationships">
  <dimension ref="A1:V247"/>
  <sheetViews>
    <sheetView zoomScalePageLayoutView="0" workbookViewId="0" topLeftCell="A1">
      <selection activeCell="B11" sqref="B11"/>
    </sheetView>
  </sheetViews>
  <sheetFormatPr defaultColWidth="9.140625" defaultRowHeight="12.75"/>
  <cols>
    <col min="1" max="1" width="19.00390625" style="0" customWidth="1"/>
    <col min="2" max="2" width="6.28125" style="0" customWidth="1"/>
    <col min="3" max="3" width="8.140625" style="0" customWidth="1"/>
    <col min="6" max="6" width="6.7109375" style="0" customWidth="1"/>
    <col min="7" max="7" width="8.421875" style="0" customWidth="1"/>
    <col min="14" max="14" width="2.7109375" style="0" customWidth="1"/>
    <col min="15" max="15" width="6.28125" style="0" customWidth="1"/>
    <col min="16" max="16" width="6.57421875" style="0" customWidth="1"/>
    <col min="17" max="17" width="5.421875" style="0" customWidth="1"/>
    <col min="18" max="18" width="6.140625" style="0" customWidth="1"/>
    <col min="19" max="19" width="10.140625" style="0" customWidth="1"/>
    <col min="20" max="20" width="4.7109375" style="0" customWidth="1"/>
    <col min="21" max="21" width="5.28125" style="0" customWidth="1"/>
    <col min="22" max="22" width="6.28125" style="0" customWidth="1"/>
  </cols>
  <sheetData>
    <row r="1" spans="1:13" ht="48">
      <c r="A1" s="18" t="s">
        <v>1078</v>
      </c>
      <c r="B1" s="18" t="s">
        <v>1079</v>
      </c>
      <c r="C1" s="18" t="s">
        <v>369</v>
      </c>
      <c r="D1" s="18" t="s">
        <v>1083</v>
      </c>
      <c r="E1" s="18" t="s">
        <v>890</v>
      </c>
      <c r="F1" s="18" t="s">
        <v>425</v>
      </c>
      <c r="G1" s="18" t="s">
        <v>992</v>
      </c>
      <c r="H1" s="18" t="s">
        <v>993</v>
      </c>
      <c r="I1" s="18" t="s">
        <v>1001</v>
      </c>
      <c r="J1" s="18" t="s">
        <v>991</v>
      </c>
      <c r="K1" s="18" t="s">
        <v>1002</v>
      </c>
      <c r="L1" s="18" t="s">
        <v>1003</v>
      </c>
      <c r="M1" s="18" t="s">
        <v>1004</v>
      </c>
    </row>
    <row r="2" spans="1:15" ht="12.75">
      <c r="A2" s="20" t="s">
        <v>402</v>
      </c>
      <c r="C2" s="2">
        <f aca="true" t="shared" si="0" ref="C2:C7">B2/($O$16/100)/12</f>
        <v>0</v>
      </c>
      <c r="D2" s="2">
        <v>5.4</v>
      </c>
      <c r="E2" s="2">
        <f aca="true" t="shared" si="1" ref="E2:E28">C2*D2</f>
        <v>0</v>
      </c>
      <c r="F2" s="4">
        <f aca="true" t="shared" si="2" ref="F2:F7">(B2*D2)/0.9</f>
        <v>0</v>
      </c>
      <c r="G2" s="2">
        <f aca="true" t="shared" si="3" ref="G2:G28">J2*0.33</f>
        <v>0</v>
      </c>
      <c r="H2" s="2">
        <f aca="true" t="shared" si="4" ref="H2:H28">J2*0.5</f>
        <v>0</v>
      </c>
      <c r="I2" s="2">
        <f aca="true" t="shared" si="5" ref="I2:I28">J2*0.67</f>
        <v>0</v>
      </c>
      <c r="J2" s="2">
        <f>E2*5</f>
        <v>0</v>
      </c>
      <c r="K2" s="2">
        <f aca="true" t="shared" si="6" ref="K2:K28">J2*2</f>
        <v>0</v>
      </c>
      <c r="L2" s="2">
        <f aca="true" t="shared" si="7" ref="L2:L28">J2*3</f>
        <v>0</v>
      </c>
      <c r="M2" s="2">
        <f aca="true" t="shared" si="8" ref="M2:M28">J2*4</f>
        <v>0</v>
      </c>
      <c r="O2" s="8" t="s">
        <v>295</v>
      </c>
    </row>
    <row r="3" spans="1:15" ht="12.75">
      <c r="A3" s="27" t="s">
        <v>1008</v>
      </c>
      <c r="B3">
        <v>76</v>
      </c>
      <c r="C3" s="2">
        <f t="shared" si="0"/>
        <v>7.037037037037037</v>
      </c>
      <c r="D3" s="2">
        <v>24</v>
      </c>
      <c r="E3" s="2">
        <f t="shared" si="1"/>
        <v>168.88888888888889</v>
      </c>
      <c r="F3" s="4">
        <f t="shared" si="2"/>
        <v>2026.6666666666665</v>
      </c>
      <c r="G3" s="2">
        <f t="shared" si="3"/>
        <v>278.6666666666667</v>
      </c>
      <c r="H3" s="2">
        <f t="shared" si="4"/>
        <v>422.22222222222223</v>
      </c>
      <c r="I3" s="2">
        <f t="shared" si="5"/>
        <v>565.7777777777778</v>
      </c>
      <c r="J3" s="2">
        <f aca="true" t="shared" si="9" ref="J3:J28">E3*5</f>
        <v>844.4444444444445</v>
      </c>
      <c r="K3" s="2">
        <f t="shared" si="6"/>
        <v>1688.888888888889</v>
      </c>
      <c r="L3" s="2">
        <f t="shared" si="7"/>
        <v>2533.3333333333335</v>
      </c>
      <c r="M3" s="2">
        <f t="shared" si="8"/>
        <v>3377.777777777778</v>
      </c>
      <c r="O3" s="8" t="s">
        <v>297</v>
      </c>
    </row>
    <row r="4" spans="1:15" ht="12.75">
      <c r="A4" t="s">
        <v>646</v>
      </c>
      <c r="C4" s="2">
        <f t="shared" si="0"/>
        <v>0</v>
      </c>
      <c r="D4" s="2">
        <v>24</v>
      </c>
      <c r="E4" s="2">
        <f t="shared" si="1"/>
        <v>0</v>
      </c>
      <c r="F4" s="4">
        <f t="shared" si="2"/>
        <v>0</v>
      </c>
      <c r="G4" s="2">
        <f t="shared" si="3"/>
        <v>0</v>
      </c>
      <c r="H4" s="2">
        <f t="shared" si="4"/>
        <v>0</v>
      </c>
      <c r="I4" s="2">
        <f t="shared" si="5"/>
        <v>0</v>
      </c>
      <c r="J4" s="2">
        <f t="shared" si="9"/>
        <v>0</v>
      </c>
      <c r="K4" s="2">
        <f t="shared" si="6"/>
        <v>0</v>
      </c>
      <c r="L4" s="2">
        <f t="shared" si="7"/>
        <v>0</v>
      </c>
      <c r="M4" s="2">
        <f t="shared" si="8"/>
        <v>0</v>
      </c>
      <c r="O4" s="8" t="s">
        <v>118</v>
      </c>
    </row>
    <row r="5" spans="1:15" ht="12.75">
      <c r="A5" s="28" t="s">
        <v>1120</v>
      </c>
      <c r="B5">
        <v>14</v>
      </c>
      <c r="C5" s="2">
        <f t="shared" si="0"/>
        <v>1.2962962962962963</v>
      </c>
      <c r="D5" s="2">
        <v>24</v>
      </c>
      <c r="E5" s="2">
        <f t="shared" si="1"/>
        <v>31.11111111111111</v>
      </c>
      <c r="F5" s="4">
        <f t="shared" si="2"/>
        <v>373.3333333333333</v>
      </c>
      <c r="G5" s="2">
        <f t="shared" si="3"/>
        <v>51.33333333333333</v>
      </c>
      <c r="H5" s="2">
        <f t="shared" si="4"/>
        <v>77.77777777777777</v>
      </c>
      <c r="I5" s="2">
        <f t="shared" si="5"/>
        <v>104.22222222222221</v>
      </c>
      <c r="J5" s="2">
        <f t="shared" si="9"/>
        <v>155.55555555555554</v>
      </c>
      <c r="K5" s="2">
        <f t="shared" si="6"/>
        <v>311.1111111111111</v>
      </c>
      <c r="L5" s="2">
        <f t="shared" si="7"/>
        <v>466.66666666666663</v>
      </c>
      <c r="M5" s="2">
        <f t="shared" si="8"/>
        <v>622.2222222222222</v>
      </c>
      <c r="O5" s="8" t="s">
        <v>119</v>
      </c>
    </row>
    <row r="6" spans="1:15" ht="12.75">
      <c r="A6" t="s">
        <v>1009</v>
      </c>
      <c r="B6">
        <v>16</v>
      </c>
      <c r="C6" s="2">
        <f t="shared" si="0"/>
        <v>1.4814814814814816</v>
      </c>
      <c r="D6" s="2">
        <v>24</v>
      </c>
      <c r="E6" s="2">
        <f t="shared" si="1"/>
        <v>35.55555555555556</v>
      </c>
      <c r="F6" s="4">
        <f t="shared" si="2"/>
        <v>426.66666666666663</v>
      </c>
      <c r="G6" s="2">
        <f t="shared" si="3"/>
        <v>58.666666666666664</v>
      </c>
      <c r="H6" s="2">
        <f t="shared" si="4"/>
        <v>88.88888888888889</v>
      </c>
      <c r="I6" s="2">
        <f t="shared" si="5"/>
        <v>119.11111111111111</v>
      </c>
      <c r="J6" s="2">
        <f t="shared" si="9"/>
        <v>177.77777777777777</v>
      </c>
      <c r="K6" s="2">
        <f t="shared" si="6"/>
        <v>355.55555555555554</v>
      </c>
      <c r="L6" s="2">
        <f t="shared" si="7"/>
        <v>533.3333333333333</v>
      </c>
      <c r="M6" s="2">
        <f t="shared" si="8"/>
        <v>711.1111111111111</v>
      </c>
      <c r="O6" s="8" t="s">
        <v>1157</v>
      </c>
    </row>
    <row r="7" spans="1:15" ht="12.75">
      <c r="A7" t="s">
        <v>894</v>
      </c>
      <c r="C7" s="2">
        <f t="shared" si="0"/>
        <v>0</v>
      </c>
      <c r="D7" s="2">
        <v>24</v>
      </c>
      <c r="E7" s="2">
        <f t="shared" si="1"/>
        <v>0</v>
      </c>
      <c r="F7" s="4">
        <f t="shared" si="2"/>
        <v>0</v>
      </c>
      <c r="G7" s="2">
        <f t="shared" si="3"/>
        <v>0</v>
      </c>
      <c r="H7" s="2">
        <f t="shared" si="4"/>
        <v>0</v>
      </c>
      <c r="I7" s="2">
        <f t="shared" si="5"/>
        <v>0</v>
      </c>
      <c r="J7" s="2">
        <f t="shared" si="9"/>
        <v>0</v>
      </c>
      <c r="K7" s="2">
        <f t="shared" si="6"/>
        <v>0</v>
      </c>
      <c r="L7" s="2">
        <f t="shared" si="7"/>
        <v>0</v>
      </c>
      <c r="M7" s="2">
        <f t="shared" si="8"/>
        <v>0</v>
      </c>
      <c r="O7" s="8" t="s">
        <v>269</v>
      </c>
    </row>
    <row r="8" spans="1:15" ht="12.75">
      <c r="A8" s="28" t="s">
        <v>424</v>
      </c>
      <c r="B8" t="s">
        <v>1084</v>
      </c>
      <c r="C8" s="14">
        <v>0.8</v>
      </c>
      <c r="D8" s="2">
        <v>24</v>
      </c>
      <c r="E8" s="2">
        <f t="shared" si="1"/>
        <v>19.200000000000003</v>
      </c>
      <c r="F8" s="4">
        <f>E8*12.6</f>
        <v>241.92000000000002</v>
      </c>
      <c r="G8" s="2">
        <f t="shared" si="3"/>
        <v>31.680000000000007</v>
      </c>
      <c r="H8" s="2">
        <f t="shared" si="4"/>
        <v>48.00000000000001</v>
      </c>
      <c r="I8" s="2">
        <f t="shared" si="5"/>
        <v>64.32000000000001</v>
      </c>
      <c r="J8" s="2">
        <f t="shared" si="9"/>
        <v>96.00000000000001</v>
      </c>
      <c r="K8" s="2">
        <f t="shared" si="6"/>
        <v>192.00000000000003</v>
      </c>
      <c r="L8" s="2">
        <f t="shared" si="7"/>
        <v>288.00000000000006</v>
      </c>
      <c r="M8" s="2">
        <f t="shared" si="8"/>
        <v>384.00000000000006</v>
      </c>
      <c r="O8" s="8" t="s">
        <v>270</v>
      </c>
    </row>
    <row r="9" spans="1:15" ht="12.75">
      <c r="A9" t="s">
        <v>250</v>
      </c>
      <c r="B9" t="s">
        <v>1084</v>
      </c>
      <c r="C9" s="2"/>
      <c r="D9" s="2">
        <v>24</v>
      </c>
      <c r="E9" s="2">
        <f t="shared" si="1"/>
        <v>0</v>
      </c>
      <c r="F9" s="4">
        <f>E9*12.6</f>
        <v>0</v>
      </c>
      <c r="G9" s="2">
        <f t="shared" si="3"/>
        <v>0</v>
      </c>
      <c r="H9" s="2">
        <f t="shared" si="4"/>
        <v>0</v>
      </c>
      <c r="I9" s="2">
        <f t="shared" si="5"/>
        <v>0</v>
      </c>
      <c r="J9" s="2">
        <f t="shared" si="9"/>
        <v>0</v>
      </c>
      <c r="K9" s="2">
        <f t="shared" si="6"/>
        <v>0</v>
      </c>
      <c r="L9" s="2">
        <f t="shared" si="7"/>
        <v>0</v>
      </c>
      <c r="M9" s="2">
        <f t="shared" si="8"/>
        <v>0</v>
      </c>
      <c r="O9" s="8" t="s">
        <v>272</v>
      </c>
    </row>
    <row r="10" spans="1:15" ht="12.75">
      <c r="A10" s="27" t="s">
        <v>64</v>
      </c>
      <c r="B10">
        <v>16</v>
      </c>
      <c r="C10" s="2">
        <f aca="true" t="shared" si="10" ref="C10:C24">B10/($O$16/100)/12</f>
        <v>1.4814814814814816</v>
      </c>
      <c r="D10" s="2">
        <v>4</v>
      </c>
      <c r="E10" s="2">
        <f t="shared" si="1"/>
        <v>5.9259259259259265</v>
      </c>
      <c r="F10" s="4">
        <f aca="true" t="shared" si="11" ref="F10:F24">(B10*D10)/0.9</f>
        <v>71.11111111111111</v>
      </c>
      <c r="G10" s="2">
        <f t="shared" si="3"/>
        <v>9.777777777777779</v>
      </c>
      <c r="H10" s="2">
        <f t="shared" si="4"/>
        <v>14.814814814814817</v>
      </c>
      <c r="I10" s="2">
        <f t="shared" si="5"/>
        <v>19.851851851851855</v>
      </c>
      <c r="J10" s="2">
        <f t="shared" si="9"/>
        <v>29.629629629629633</v>
      </c>
      <c r="K10" s="2">
        <f t="shared" si="6"/>
        <v>59.25925925925927</v>
      </c>
      <c r="L10" s="2">
        <f t="shared" si="7"/>
        <v>88.8888888888889</v>
      </c>
      <c r="M10" s="2">
        <f t="shared" si="8"/>
        <v>118.51851851851853</v>
      </c>
      <c r="O10" s="8" t="s">
        <v>273</v>
      </c>
    </row>
    <row r="11" spans="1:15" ht="12.75">
      <c r="A11" t="s">
        <v>1119</v>
      </c>
      <c r="C11" s="2">
        <f t="shared" si="10"/>
        <v>0</v>
      </c>
      <c r="D11" s="2">
        <v>4</v>
      </c>
      <c r="E11" s="2">
        <f t="shared" si="1"/>
        <v>0</v>
      </c>
      <c r="F11" s="4">
        <f t="shared" si="11"/>
        <v>0</v>
      </c>
      <c r="G11" s="2">
        <f t="shared" si="3"/>
        <v>0</v>
      </c>
      <c r="H11" s="2">
        <f t="shared" si="4"/>
        <v>0</v>
      </c>
      <c r="I11" s="2">
        <f t="shared" si="5"/>
        <v>0</v>
      </c>
      <c r="J11" s="2">
        <f t="shared" si="9"/>
        <v>0</v>
      </c>
      <c r="K11" s="2">
        <f t="shared" si="6"/>
        <v>0</v>
      </c>
      <c r="L11" s="2">
        <f t="shared" si="7"/>
        <v>0</v>
      </c>
      <c r="M11" s="2">
        <f t="shared" si="8"/>
        <v>0</v>
      </c>
      <c r="O11" s="8" t="s">
        <v>271</v>
      </c>
    </row>
    <row r="12" spans="1:15" ht="12.75">
      <c r="A12" s="27" t="s">
        <v>168</v>
      </c>
      <c r="B12">
        <v>9</v>
      </c>
      <c r="C12" s="2">
        <f t="shared" si="10"/>
        <v>0.8333333333333334</v>
      </c>
      <c r="D12" s="2">
        <v>6</v>
      </c>
      <c r="E12" s="2">
        <f t="shared" si="1"/>
        <v>5</v>
      </c>
      <c r="F12" s="4">
        <f t="shared" si="11"/>
        <v>60</v>
      </c>
      <c r="G12" s="2">
        <f t="shared" si="3"/>
        <v>8.25</v>
      </c>
      <c r="H12" s="2">
        <f t="shared" si="4"/>
        <v>12.5</v>
      </c>
      <c r="I12" s="2">
        <f t="shared" si="5"/>
        <v>16.75</v>
      </c>
      <c r="J12" s="2">
        <f t="shared" si="9"/>
        <v>25</v>
      </c>
      <c r="K12" s="2">
        <f t="shared" si="6"/>
        <v>50</v>
      </c>
      <c r="L12" s="2">
        <f t="shared" si="7"/>
        <v>75</v>
      </c>
      <c r="M12" s="2">
        <f t="shared" si="8"/>
        <v>100</v>
      </c>
      <c r="O12" s="8" t="s">
        <v>276</v>
      </c>
    </row>
    <row r="13" spans="1:15" ht="12.75">
      <c r="A13" s="27" t="s">
        <v>169</v>
      </c>
      <c r="B13">
        <v>1.4</v>
      </c>
      <c r="C13" s="2">
        <f t="shared" si="10"/>
        <v>0.12962962962962962</v>
      </c>
      <c r="D13" s="2">
        <v>24</v>
      </c>
      <c r="E13" s="2">
        <f t="shared" si="1"/>
        <v>3.1111111111111107</v>
      </c>
      <c r="F13" s="4">
        <f t="shared" si="11"/>
        <v>37.33333333333333</v>
      </c>
      <c r="G13" s="2">
        <f t="shared" si="3"/>
        <v>5.133333333333333</v>
      </c>
      <c r="H13" s="2">
        <f t="shared" si="4"/>
        <v>7.777777777777777</v>
      </c>
      <c r="I13" s="2">
        <f t="shared" si="5"/>
        <v>10.42222222222222</v>
      </c>
      <c r="J13" s="2">
        <f t="shared" si="9"/>
        <v>15.555555555555554</v>
      </c>
      <c r="K13" s="2">
        <f t="shared" si="6"/>
        <v>31.111111111111107</v>
      </c>
      <c r="L13" s="2">
        <f t="shared" si="7"/>
        <v>46.66666666666666</v>
      </c>
      <c r="M13" s="2">
        <f t="shared" si="8"/>
        <v>62.222222222222214</v>
      </c>
      <c r="O13" s="8" t="s">
        <v>294</v>
      </c>
    </row>
    <row r="14" spans="1:15" ht="12.75">
      <c r="A14" t="s">
        <v>58</v>
      </c>
      <c r="C14" s="2">
        <f t="shared" si="10"/>
        <v>0</v>
      </c>
      <c r="D14" s="2">
        <v>24</v>
      </c>
      <c r="E14" s="2">
        <f t="shared" si="1"/>
        <v>0</v>
      </c>
      <c r="F14" s="4">
        <f t="shared" si="11"/>
        <v>0</v>
      </c>
      <c r="G14" s="2">
        <f t="shared" si="3"/>
        <v>0</v>
      </c>
      <c r="H14" s="2">
        <f t="shared" si="4"/>
        <v>0</v>
      </c>
      <c r="I14" s="2">
        <f t="shared" si="5"/>
        <v>0</v>
      </c>
      <c r="J14" s="2">
        <f t="shared" si="9"/>
        <v>0</v>
      </c>
      <c r="K14" s="2">
        <f t="shared" si="6"/>
        <v>0</v>
      </c>
      <c r="L14" s="2">
        <f t="shared" si="7"/>
        <v>0</v>
      </c>
      <c r="M14" s="2">
        <f t="shared" si="8"/>
        <v>0</v>
      </c>
      <c r="O14" s="8" t="s">
        <v>298</v>
      </c>
    </row>
    <row r="15" spans="1:21" ht="12.75">
      <c r="A15" t="s">
        <v>1102</v>
      </c>
      <c r="C15" s="2">
        <f t="shared" si="10"/>
        <v>0</v>
      </c>
      <c r="D15" s="2">
        <v>0.5</v>
      </c>
      <c r="E15" s="2">
        <f t="shared" si="1"/>
        <v>0</v>
      </c>
      <c r="F15" s="4">
        <f t="shared" si="11"/>
        <v>0</v>
      </c>
      <c r="G15" s="2">
        <f t="shared" si="3"/>
        <v>0</v>
      </c>
      <c r="H15" s="2">
        <f t="shared" si="4"/>
        <v>0</v>
      </c>
      <c r="I15" s="2">
        <f t="shared" si="5"/>
        <v>0</v>
      </c>
      <c r="J15" s="2">
        <f t="shared" si="9"/>
        <v>0</v>
      </c>
      <c r="K15" s="2">
        <f t="shared" si="6"/>
        <v>0</v>
      </c>
      <c r="L15" s="2">
        <f t="shared" si="7"/>
        <v>0</v>
      </c>
      <c r="M15" s="2">
        <f t="shared" si="8"/>
        <v>0</v>
      </c>
      <c r="O15" s="13">
        <v>420</v>
      </c>
      <c r="P15" s="12" t="s">
        <v>1145</v>
      </c>
      <c r="U15" s="40"/>
    </row>
    <row r="16" spans="1:20" ht="12.75">
      <c r="A16" t="s">
        <v>60</v>
      </c>
      <c r="C16" s="2">
        <f t="shared" si="10"/>
        <v>0</v>
      </c>
      <c r="D16" s="2">
        <v>24</v>
      </c>
      <c r="E16" s="2">
        <f t="shared" si="1"/>
        <v>0</v>
      </c>
      <c r="F16" s="4">
        <f t="shared" si="11"/>
        <v>0</v>
      </c>
      <c r="G16" s="2">
        <f t="shared" si="3"/>
        <v>0</v>
      </c>
      <c r="H16" s="2">
        <f t="shared" si="4"/>
        <v>0</v>
      </c>
      <c r="I16" s="2">
        <f t="shared" si="5"/>
        <v>0</v>
      </c>
      <c r="J16" s="2">
        <f t="shared" si="9"/>
        <v>0</v>
      </c>
      <c r="K16" s="2">
        <f t="shared" si="6"/>
        <v>0</v>
      </c>
      <c r="L16" s="2">
        <f t="shared" si="7"/>
        <v>0</v>
      </c>
      <c r="M16" s="2">
        <f t="shared" si="8"/>
        <v>0</v>
      </c>
      <c r="O16" s="16">
        <v>90</v>
      </c>
      <c r="P16" s="12" t="s">
        <v>42</v>
      </c>
      <c r="T16" t="s">
        <v>251</v>
      </c>
    </row>
    <row r="17" spans="1:20" ht="12.75">
      <c r="A17" t="s">
        <v>1103</v>
      </c>
      <c r="C17" s="2">
        <f t="shared" si="10"/>
        <v>0</v>
      </c>
      <c r="D17" s="2">
        <v>0.1</v>
      </c>
      <c r="E17" s="2">
        <f t="shared" si="1"/>
        <v>0</v>
      </c>
      <c r="F17" s="4">
        <f t="shared" si="11"/>
        <v>0</v>
      </c>
      <c r="G17" s="2">
        <f t="shared" si="3"/>
        <v>0</v>
      </c>
      <c r="H17" s="2">
        <f t="shared" si="4"/>
        <v>0</v>
      </c>
      <c r="I17" s="2">
        <f t="shared" si="5"/>
        <v>0</v>
      </c>
      <c r="J17" s="2">
        <f t="shared" si="9"/>
        <v>0</v>
      </c>
      <c r="K17" s="2">
        <f t="shared" si="6"/>
        <v>0</v>
      </c>
      <c r="L17" s="2">
        <f t="shared" si="7"/>
        <v>0</v>
      </c>
      <c r="M17" s="2">
        <f t="shared" si="8"/>
        <v>0</v>
      </c>
      <c r="O17" s="16">
        <v>2000</v>
      </c>
      <c r="P17" s="8" t="s">
        <v>177</v>
      </c>
      <c r="T17" t="s">
        <v>252</v>
      </c>
    </row>
    <row r="18" spans="1:16" ht="12.75">
      <c r="A18" t="s">
        <v>693</v>
      </c>
      <c r="C18" s="2">
        <f t="shared" si="10"/>
        <v>0</v>
      </c>
      <c r="D18" s="2">
        <v>24</v>
      </c>
      <c r="E18" s="2">
        <f t="shared" si="1"/>
        <v>0</v>
      </c>
      <c r="F18" s="4">
        <f t="shared" si="11"/>
        <v>0</v>
      </c>
      <c r="G18" s="2">
        <f t="shared" si="3"/>
        <v>0</v>
      </c>
      <c r="H18" s="2">
        <f t="shared" si="4"/>
        <v>0</v>
      </c>
      <c r="I18" s="2">
        <f t="shared" si="5"/>
        <v>0</v>
      </c>
      <c r="J18" s="2">
        <f t="shared" si="9"/>
        <v>0</v>
      </c>
      <c r="K18" s="2">
        <f t="shared" si="6"/>
        <v>0</v>
      </c>
      <c r="L18" s="2">
        <f t="shared" si="7"/>
        <v>0</v>
      </c>
      <c r="M18" s="2">
        <f t="shared" si="8"/>
        <v>0</v>
      </c>
      <c r="P18" t="s">
        <v>946</v>
      </c>
    </row>
    <row r="19" spans="1:22" ht="12.75">
      <c r="A19" t="s">
        <v>833</v>
      </c>
      <c r="C19" s="2">
        <f t="shared" si="10"/>
        <v>0</v>
      </c>
      <c r="D19" s="2">
        <f>NOCTRatings!D22</f>
        <v>2.52</v>
      </c>
      <c r="E19" s="2">
        <f t="shared" si="1"/>
        <v>0</v>
      </c>
      <c r="F19" s="4">
        <f t="shared" si="11"/>
        <v>0</v>
      </c>
      <c r="G19" s="2">
        <f t="shared" si="3"/>
        <v>0</v>
      </c>
      <c r="H19" s="2">
        <f t="shared" si="4"/>
        <v>0</v>
      </c>
      <c r="I19" s="2">
        <f t="shared" si="5"/>
        <v>0</v>
      </c>
      <c r="J19" s="2">
        <f t="shared" si="9"/>
        <v>0</v>
      </c>
      <c r="K19" s="2">
        <f t="shared" si="6"/>
        <v>0</v>
      </c>
      <c r="L19" s="2">
        <f t="shared" si="7"/>
        <v>0</v>
      </c>
      <c r="M19" s="2">
        <f t="shared" si="8"/>
        <v>0</v>
      </c>
      <c r="U19" s="8"/>
      <c r="V19" s="8"/>
    </row>
    <row r="20" spans="1:22" ht="12.75">
      <c r="A20" s="27" t="s">
        <v>1146</v>
      </c>
      <c r="B20">
        <v>8</v>
      </c>
      <c r="C20" s="2">
        <f t="shared" si="10"/>
        <v>0.7407407407407408</v>
      </c>
      <c r="D20" s="2">
        <v>2</v>
      </c>
      <c r="E20" s="2">
        <f t="shared" si="1"/>
        <v>1.4814814814814816</v>
      </c>
      <c r="F20" s="4">
        <f t="shared" si="11"/>
        <v>17.77777777777778</v>
      </c>
      <c r="G20" s="2">
        <f t="shared" si="3"/>
        <v>2.4444444444444446</v>
      </c>
      <c r="H20" s="2">
        <f t="shared" si="4"/>
        <v>3.703703703703704</v>
      </c>
      <c r="I20" s="2">
        <f t="shared" si="5"/>
        <v>4.962962962962964</v>
      </c>
      <c r="J20" s="2">
        <f t="shared" si="9"/>
        <v>7.407407407407408</v>
      </c>
      <c r="K20" s="2">
        <f t="shared" si="6"/>
        <v>14.814814814814817</v>
      </c>
      <c r="L20" s="2">
        <f t="shared" si="7"/>
        <v>22.222222222222225</v>
      </c>
      <c r="M20" s="2">
        <f t="shared" si="8"/>
        <v>29.629629629629633</v>
      </c>
      <c r="O20" s="7">
        <f>O15/5/J31</f>
        <v>0.31079562583934006</v>
      </c>
      <c r="P20" s="6" t="s">
        <v>1005</v>
      </c>
      <c r="V20" s="8"/>
    </row>
    <row r="21" spans="1:22" ht="12.75">
      <c r="A21" t="s">
        <v>162</v>
      </c>
      <c r="C21" s="2">
        <f t="shared" si="10"/>
        <v>0</v>
      </c>
      <c r="D21" s="2">
        <v>24</v>
      </c>
      <c r="E21" s="2">
        <f t="shared" si="1"/>
        <v>0</v>
      </c>
      <c r="F21" s="4">
        <f t="shared" si="11"/>
        <v>0</v>
      </c>
      <c r="G21" s="2">
        <f t="shared" si="3"/>
        <v>0</v>
      </c>
      <c r="H21" s="2">
        <f t="shared" si="4"/>
        <v>0</v>
      </c>
      <c r="I21" s="2">
        <f t="shared" si="5"/>
        <v>0</v>
      </c>
      <c r="J21" s="2">
        <f t="shared" si="9"/>
        <v>0</v>
      </c>
      <c r="K21" s="2">
        <f t="shared" si="6"/>
        <v>0</v>
      </c>
      <c r="L21" s="2">
        <f t="shared" si="7"/>
        <v>0</v>
      </c>
      <c r="M21" s="2">
        <f t="shared" si="8"/>
        <v>0</v>
      </c>
      <c r="O21" s="5">
        <f>O20*24</f>
        <v>7.4590950201441615</v>
      </c>
      <c r="P21" s="6" t="s">
        <v>1006</v>
      </c>
      <c r="V21" s="8"/>
    </row>
    <row r="22" spans="1:16" ht="12.75">
      <c r="A22" t="s">
        <v>164</v>
      </c>
      <c r="C22" s="2">
        <f t="shared" si="10"/>
        <v>0</v>
      </c>
      <c r="D22" s="2">
        <v>0.1</v>
      </c>
      <c r="E22" s="2">
        <f t="shared" si="1"/>
        <v>0</v>
      </c>
      <c r="F22" s="4">
        <f t="shared" si="11"/>
        <v>0</v>
      </c>
      <c r="G22" s="2">
        <f t="shared" si="3"/>
        <v>0</v>
      </c>
      <c r="H22" s="2">
        <f t="shared" si="4"/>
        <v>0</v>
      </c>
      <c r="I22" s="2">
        <f t="shared" si="5"/>
        <v>0</v>
      </c>
      <c r="J22" s="2">
        <f t="shared" si="9"/>
        <v>0</v>
      </c>
      <c r="K22" s="2">
        <f t="shared" si="6"/>
        <v>0</v>
      </c>
      <c r="L22" s="2">
        <f t="shared" si="7"/>
        <v>0</v>
      </c>
      <c r="M22" s="2">
        <f t="shared" si="8"/>
        <v>0</v>
      </c>
      <c r="O22" s="5">
        <f>J61</f>
        <v>4.78177207977208</v>
      </c>
      <c r="P22" s="6" t="s">
        <v>243</v>
      </c>
    </row>
    <row r="23" spans="1:16" ht="12.75">
      <c r="A23" t="s">
        <v>1010</v>
      </c>
      <c r="C23" s="2">
        <f t="shared" si="10"/>
        <v>0</v>
      </c>
      <c r="D23" s="2">
        <v>24</v>
      </c>
      <c r="E23" s="2">
        <f t="shared" si="1"/>
        <v>0</v>
      </c>
      <c r="F23" s="4">
        <f t="shared" si="11"/>
        <v>0</v>
      </c>
      <c r="G23" s="2">
        <f t="shared" si="3"/>
        <v>0</v>
      </c>
      <c r="H23" s="2">
        <f t="shared" si="4"/>
        <v>0</v>
      </c>
      <c r="I23" s="2">
        <f t="shared" si="5"/>
        <v>0</v>
      </c>
      <c r="J23" s="2">
        <f t="shared" si="9"/>
        <v>0</v>
      </c>
      <c r="K23" s="2">
        <f t="shared" si="6"/>
        <v>0</v>
      </c>
      <c r="L23" s="2">
        <f t="shared" si="7"/>
        <v>0</v>
      </c>
      <c r="M23" s="2">
        <f t="shared" si="8"/>
        <v>0</v>
      </c>
      <c r="P23" s="6" t="s">
        <v>947</v>
      </c>
    </row>
    <row r="24" spans="1:15" ht="12.75">
      <c r="A24" t="s">
        <v>1011</v>
      </c>
      <c r="C24" s="2">
        <f t="shared" si="10"/>
        <v>0</v>
      </c>
      <c r="D24" s="2">
        <v>24</v>
      </c>
      <c r="E24" s="2">
        <f t="shared" si="1"/>
        <v>0</v>
      </c>
      <c r="F24" s="4">
        <f t="shared" si="11"/>
        <v>0</v>
      </c>
      <c r="G24" s="2">
        <f t="shared" si="3"/>
        <v>0</v>
      </c>
      <c r="H24" s="2">
        <f t="shared" si="4"/>
        <v>0</v>
      </c>
      <c r="I24" s="2">
        <f t="shared" si="5"/>
        <v>0</v>
      </c>
      <c r="J24" s="2">
        <f t="shared" si="9"/>
        <v>0</v>
      </c>
      <c r="K24" s="2">
        <f t="shared" si="6"/>
        <v>0</v>
      </c>
      <c r="L24" s="2">
        <f t="shared" si="7"/>
        <v>0</v>
      </c>
      <c r="M24" s="2">
        <f t="shared" si="8"/>
        <v>0</v>
      </c>
      <c r="O24" t="s">
        <v>899</v>
      </c>
    </row>
    <row r="25" spans="1:15" ht="12.75">
      <c r="A25" s="36" t="s">
        <v>832</v>
      </c>
      <c r="B25" t="s">
        <v>1084</v>
      </c>
      <c r="C25" s="2"/>
      <c r="D25" s="2">
        <v>8</v>
      </c>
      <c r="E25" s="2">
        <f t="shared" si="1"/>
        <v>0</v>
      </c>
      <c r="F25" s="4">
        <f>E25*12.6</f>
        <v>0</v>
      </c>
      <c r="G25" s="2">
        <f t="shared" si="3"/>
        <v>0</v>
      </c>
      <c r="H25" s="2">
        <f t="shared" si="4"/>
        <v>0</v>
      </c>
      <c r="I25" s="2">
        <f t="shared" si="5"/>
        <v>0</v>
      </c>
      <c r="J25" s="2">
        <f t="shared" si="9"/>
        <v>0</v>
      </c>
      <c r="K25" s="2">
        <f t="shared" si="6"/>
        <v>0</v>
      </c>
      <c r="L25" s="2">
        <f t="shared" si="7"/>
        <v>0</v>
      </c>
      <c r="M25" s="2">
        <f t="shared" si="8"/>
        <v>0</v>
      </c>
      <c r="O25" t="s">
        <v>907</v>
      </c>
    </row>
    <row r="26" spans="1:15" ht="12.75">
      <c r="A26" t="s">
        <v>888</v>
      </c>
      <c r="C26" s="2">
        <f>B26/($O$16/100)/12</f>
        <v>0</v>
      </c>
      <c r="D26" s="2">
        <v>2</v>
      </c>
      <c r="E26" s="2">
        <f t="shared" si="1"/>
        <v>0</v>
      </c>
      <c r="F26" s="4">
        <f>(B26*D26)/0.9</f>
        <v>0</v>
      </c>
      <c r="G26" s="2">
        <f t="shared" si="3"/>
        <v>0</v>
      </c>
      <c r="H26" s="2">
        <f t="shared" si="4"/>
        <v>0</v>
      </c>
      <c r="I26" s="2">
        <f t="shared" si="5"/>
        <v>0</v>
      </c>
      <c r="J26" s="2">
        <f t="shared" si="9"/>
        <v>0</v>
      </c>
      <c r="K26" s="2">
        <f t="shared" si="6"/>
        <v>0</v>
      </c>
      <c r="L26" s="2">
        <f t="shared" si="7"/>
        <v>0</v>
      </c>
      <c r="M26" s="2">
        <f t="shared" si="8"/>
        <v>0</v>
      </c>
      <c r="O26" t="s">
        <v>908</v>
      </c>
    </row>
    <row r="27" spans="1:15" ht="12.75">
      <c r="A27" t="s">
        <v>1012</v>
      </c>
      <c r="C27" s="2">
        <f>B27/($O$16/100)/12</f>
        <v>0</v>
      </c>
      <c r="D27" s="2">
        <v>8</v>
      </c>
      <c r="E27" s="2">
        <f t="shared" si="1"/>
        <v>0</v>
      </c>
      <c r="F27" s="4">
        <f>(B27*D27)/0.9</f>
        <v>0</v>
      </c>
      <c r="G27" s="2">
        <f t="shared" si="3"/>
        <v>0</v>
      </c>
      <c r="H27" s="2">
        <f t="shared" si="4"/>
        <v>0</v>
      </c>
      <c r="I27" s="2">
        <f t="shared" si="5"/>
        <v>0</v>
      </c>
      <c r="J27" s="2">
        <f t="shared" si="9"/>
        <v>0</v>
      </c>
      <c r="K27" s="2">
        <f t="shared" si="6"/>
        <v>0</v>
      </c>
      <c r="L27" s="2">
        <f t="shared" si="7"/>
        <v>0</v>
      </c>
      <c r="M27" s="2">
        <f t="shared" si="8"/>
        <v>0</v>
      </c>
      <c r="O27" t="s">
        <v>909</v>
      </c>
    </row>
    <row r="28" spans="1:16" ht="12.75">
      <c r="A28" t="s">
        <v>1156</v>
      </c>
      <c r="C28" s="2">
        <f>B28/($O$16/100)/12</f>
        <v>0</v>
      </c>
      <c r="D28" s="2">
        <v>0</v>
      </c>
      <c r="E28" s="2">
        <f t="shared" si="1"/>
        <v>0</v>
      </c>
      <c r="F28" s="4">
        <f>(B28*D28)/0.9</f>
        <v>0</v>
      </c>
      <c r="G28" s="2">
        <f t="shared" si="3"/>
        <v>0</v>
      </c>
      <c r="H28" s="2">
        <f t="shared" si="4"/>
        <v>0</v>
      </c>
      <c r="I28" s="2">
        <f t="shared" si="5"/>
        <v>0</v>
      </c>
      <c r="J28" s="2">
        <f t="shared" si="9"/>
        <v>0</v>
      </c>
      <c r="K28" s="2">
        <f t="shared" si="6"/>
        <v>0</v>
      </c>
      <c r="L28" s="2">
        <f t="shared" si="7"/>
        <v>0</v>
      </c>
      <c r="M28" s="2">
        <f t="shared" si="8"/>
        <v>0</v>
      </c>
      <c r="O28" t="s">
        <v>910</v>
      </c>
      <c r="P28" t="s">
        <v>911</v>
      </c>
    </row>
    <row r="29" spans="1:16" ht="12.75">
      <c r="A29" s="8" t="s">
        <v>1080</v>
      </c>
      <c r="B29" s="10">
        <f>SUM(B2:B28)</f>
        <v>140.4</v>
      </c>
      <c r="C29" s="2">
        <f>SUM(C2:C28)</f>
        <v>13.8</v>
      </c>
      <c r="D29" s="2"/>
      <c r="E29" s="2">
        <f>SUM(E2:E28)</f>
        <v>270.274074074074</v>
      </c>
      <c r="F29" s="4">
        <f>SUM(F2:F28)</f>
        <v>3254.808888888889</v>
      </c>
      <c r="G29" s="2" t="s">
        <v>349</v>
      </c>
      <c r="H29" s="2" t="s">
        <v>355</v>
      </c>
      <c r="I29" s="2" t="s">
        <v>356</v>
      </c>
      <c r="J29" s="2" t="s">
        <v>357</v>
      </c>
      <c r="K29" s="2" t="s">
        <v>358</v>
      </c>
      <c r="L29" s="2" t="s">
        <v>359</v>
      </c>
      <c r="M29" s="2" t="s">
        <v>360</v>
      </c>
      <c r="P29" t="s">
        <v>912</v>
      </c>
    </row>
    <row r="30" spans="4:16" ht="12.75">
      <c r="D30" t="s">
        <v>1007</v>
      </c>
      <c r="G30" s="2">
        <f aca="true" t="shared" si="12" ref="G30:M30">SUM(G2:G28)</f>
        <v>445.95222222222225</v>
      </c>
      <c r="H30" s="2">
        <f t="shared" si="12"/>
        <v>675.6851851851852</v>
      </c>
      <c r="I30" s="2">
        <f t="shared" si="12"/>
        <v>905.4181481481481</v>
      </c>
      <c r="J30" s="2">
        <f t="shared" si="12"/>
        <v>1351.3703703703704</v>
      </c>
      <c r="K30" s="2">
        <f t="shared" si="12"/>
        <v>2702.740740740741</v>
      </c>
      <c r="L30" s="2">
        <f t="shared" si="12"/>
        <v>4054.1111111111104</v>
      </c>
      <c r="M30" s="2">
        <f t="shared" si="12"/>
        <v>5405.481481481482</v>
      </c>
      <c r="N30" t="s">
        <v>253</v>
      </c>
      <c r="P30" t="s">
        <v>913</v>
      </c>
    </row>
    <row r="31" spans="4:16" ht="12.75">
      <c r="D31" t="s">
        <v>1122</v>
      </c>
      <c r="G31" s="2">
        <f>G30/5</f>
        <v>89.19044444444445</v>
      </c>
      <c r="H31" s="2">
        <f aca="true" t="shared" si="13" ref="H31:M31">H30/5</f>
        <v>135.13703703703703</v>
      </c>
      <c r="I31" s="2">
        <f t="shared" si="13"/>
        <v>181.08362962962963</v>
      </c>
      <c r="J31" s="2">
        <f t="shared" si="13"/>
        <v>270.27407407407406</v>
      </c>
      <c r="K31" s="2">
        <f t="shared" si="13"/>
        <v>540.5481481481481</v>
      </c>
      <c r="L31" s="2">
        <f t="shared" si="13"/>
        <v>810.8222222222221</v>
      </c>
      <c r="M31" s="2">
        <f t="shared" si="13"/>
        <v>1081.0962962962963</v>
      </c>
      <c r="P31" t="s">
        <v>895</v>
      </c>
    </row>
    <row r="32" spans="4:16" ht="12.75">
      <c r="D32" t="s">
        <v>810</v>
      </c>
      <c r="G32" s="2">
        <f>G31/$O$15*100</f>
        <v>21.235820105820107</v>
      </c>
      <c r="H32" s="2">
        <f aca="true" t="shared" si="14" ref="H32:M32">H31/$O$15*100</f>
        <v>32.17548500881834</v>
      </c>
      <c r="I32" s="2">
        <f t="shared" si="14"/>
        <v>43.11514991181658</v>
      </c>
      <c r="J32" s="2">
        <f t="shared" si="14"/>
        <v>64.35097001763668</v>
      </c>
      <c r="K32" s="2">
        <f t="shared" si="14"/>
        <v>128.70194003527337</v>
      </c>
      <c r="L32" s="2">
        <f t="shared" si="14"/>
        <v>193.05291005291002</v>
      </c>
      <c r="M32" s="2">
        <f t="shared" si="14"/>
        <v>257.40388007054673</v>
      </c>
      <c r="P32" t="s">
        <v>896</v>
      </c>
    </row>
    <row r="33" spans="4:16" ht="12.75">
      <c r="D33" t="s">
        <v>990</v>
      </c>
      <c r="E33" s="22"/>
      <c r="F33" s="4"/>
      <c r="G33" s="2">
        <f aca="true" t="shared" si="15" ref="G33:M33">G31*1.15</f>
        <v>102.56901111111111</v>
      </c>
      <c r="H33" s="2">
        <f t="shared" si="15"/>
        <v>155.40759259259258</v>
      </c>
      <c r="I33" s="2">
        <f t="shared" si="15"/>
        <v>208.24617407407405</v>
      </c>
      <c r="J33" s="2">
        <f t="shared" si="15"/>
        <v>310.81518518518516</v>
      </c>
      <c r="K33" s="2">
        <f t="shared" si="15"/>
        <v>621.6303703703703</v>
      </c>
      <c r="L33" s="2">
        <f t="shared" si="15"/>
        <v>932.4455555555553</v>
      </c>
      <c r="M33" s="2">
        <f t="shared" si="15"/>
        <v>1243.2607407407406</v>
      </c>
      <c r="P33" t="s">
        <v>897</v>
      </c>
    </row>
    <row r="34" spans="1:16" ht="12.75">
      <c r="A34" t="s">
        <v>652</v>
      </c>
      <c r="F34" s="4"/>
      <c r="G34" s="2"/>
      <c r="H34" s="2"/>
      <c r="I34" s="2"/>
      <c r="J34" s="2"/>
      <c r="K34" s="2"/>
      <c r="L34" s="2"/>
      <c r="M34" s="2"/>
      <c r="P34" t="s">
        <v>898</v>
      </c>
    </row>
    <row r="35" spans="1:18" ht="12.75">
      <c r="A35" t="s">
        <v>653</v>
      </c>
      <c r="C35" t="s">
        <v>414</v>
      </c>
      <c r="E35" s="22" t="s">
        <v>656</v>
      </c>
      <c r="F35" t="s">
        <v>651</v>
      </c>
      <c r="G35" s="2" t="s">
        <v>831</v>
      </c>
      <c r="H35" s="2"/>
      <c r="I35" s="2"/>
      <c r="J35" s="2"/>
      <c r="K35" s="2"/>
      <c r="L35" s="2"/>
      <c r="M35" s="2"/>
      <c r="O35" t="s">
        <v>564</v>
      </c>
      <c r="P35" t="s">
        <v>651</v>
      </c>
      <c r="Q35" s="34" t="s">
        <v>809</v>
      </c>
      <c r="R35" s="34" t="s">
        <v>887</v>
      </c>
    </row>
    <row r="36" spans="1:18" ht="12.75">
      <c r="A36" t="s">
        <v>654</v>
      </c>
      <c r="C36" t="s">
        <v>373</v>
      </c>
      <c r="E36">
        <v>400</v>
      </c>
      <c r="G36" s="2">
        <f>G33/O36</f>
        <v>3.7038809567901234</v>
      </c>
      <c r="H36" s="2">
        <f>H33/O36</f>
        <v>5.611940843621398</v>
      </c>
      <c r="I36" s="2">
        <f>I33/O36</f>
        <v>7.520000730452674</v>
      </c>
      <c r="J36" s="2">
        <f>J33/O36</f>
        <v>11.223881687242796</v>
      </c>
      <c r="K36" s="2">
        <f aca="true" t="shared" si="16" ref="K36:K59">J36*2</f>
        <v>22.447763374485593</v>
      </c>
      <c r="L36" s="2">
        <f aca="true" t="shared" si="17" ref="L36:L59">J36*3</f>
        <v>33.67164506172839</v>
      </c>
      <c r="M36" s="2">
        <f aca="true" t="shared" si="18" ref="M36:M59">J36*4</f>
        <v>44.895526748971186</v>
      </c>
      <c r="N36" t="s">
        <v>1142</v>
      </c>
      <c r="O36" s="2">
        <f>E36/13*0.9</f>
        <v>27.692307692307693</v>
      </c>
      <c r="Q36" s="10">
        <f>O36*$Q$69</f>
        <v>92.49230769230769</v>
      </c>
      <c r="R36" s="4">
        <f aca="true" t="shared" si="19" ref="R36:R59">Q36*12</f>
        <v>1109.9076923076923</v>
      </c>
    </row>
    <row r="37" spans="1:18" ht="12.75">
      <c r="A37" t="s">
        <v>655</v>
      </c>
      <c r="F37" s="4">
        <f>E36*0.726</f>
        <v>290.4</v>
      </c>
      <c r="G37" s="2">
        <f>G$33/$P37</f>
        <v>5.10176440329218</v>
      </c>
      <c r="H37" s="2">
        <f>H$33/$P37</f>
        <v>7.729946065594213</v>
      </c>
      <c r="I37" s="2">
        <f>I$33/$P37</f>
        <v>10.358127727896244</v>
      </c>
      <c r="J37" s="2">
        <f>J$33/$P37</f>
        <v>15.459892131188425</v>
      </c>
      <c r="K37" s="2">
        <f t="shared" si="16"/>
        <v>30.91978426237685</v>
      </c>
      <c r="L37" s="2">
        <f t="shared" si="17"/>
        <v>46.379676393565276</v>
      </c>
      <c r="M37" s="2">
        <f t="shared" si="18"/>
        <v>61.8395685247537</v>
      </c>
      <c r="P37" s="2">
        <f>F37/13*0.9</f>
        <v>20.104615384615386</v>
      </c>
      <c r="Q37" s="10">
        <f>P37*$Q$69</f>
        <v>67.14941538461538</v>
      </c>
      <c r="R37" s="4">
        <f t="shared" si="19"/>
        <v>805.7929846153845</v>
      </c>
    </row>
    <row r="38" spans="3:18" ht="12.75">
      <c r="C38" t="s">
        <v>399</v>
      </c>
      <c r="E38">
        <v>400</v>
      </c>
      <c r="G38" s="2">
        <f>G$33/O38</f>
        <v>3.7038809567901234</v>
      </c>
      <c r="H38" s="2">
        <f>H33/O38</f>
        <v>5.611940843621398</v>
      </c>
      <c r="I38" s="2">
        <f>I33/O38</f>
        <v>7.520000730452674</v>
      </c>
      <c r="J38" s="2">
        <f>J33/O38</f>
        <v>11.223881687242796</v>
      </c>
      <c r="K38" s="2">
        <f t="shared" si="16"/>
        <v>22.447763374485593</v>
      </c>
      <c r="L38" s="2">
        <f t="shared" si="17"/>
        <v>33.67164506172839</v>
      </c>
      <c r="M38" s="2">
        <f t="shared" si="18"/>
        <v>44.895526748971186</v>
      </c>
      <c r="N38" t="s">
        <v>1142</v>
      </c>
      <c r="O38" s="2">
        <f>E38/13*0.9</f>
        <v>27.692307692307693</v>
      </c>
      <c r="Q38" s="41">
        <f>O38*$Q$71</f>
        <v>143.72307692307695</v>
      </c>
      <c r="R38" s="4">
        <f>Q38*12</f>
        <v>1724.6769230769232</v>
      </c>
    </row>
    <row r="39" spans="6:18" ht="12.75">
      <c r="F39" s="4">
        <f>E38*0.726</f>
        <v>290.4</v>
      </c>
      <c r="G39" s="2">
        <f>G$33/$P39</f>
        <v>5.10176440329218</v>
      </c>
      <c r="H39" s="2">
        <f>H$33/$P39</f>
        <v>7.729946065594213</v>
      </c>
      <c r="I39" s="2">
        <f>I$33/$P39</f>
        <v>10.358127727896244</v>
      </c>
      <c r="J39" s="2">
        <f>J$33/$P39</f>
        <v>15.459892131188425</v>
      </c>
      <c r="K39" s="2">
        <f t="shared" si="16"/>
        <v>30.91978426237685</v>
      </c>
      <c r="L39" s="2">
        <f t="shared" si="17"/>
        <v>46.379676393565276</v>
      </c>
      <c r="M39" s="2">
        <f t="shared" si="18"/>
        <v>61.8395685247537</v>
      </c>
      <c r="P39" s="2">
        <f>F39/13*0.9</f>
        <v>20.104615384615386</v>
      </c>
      <c r="Q39" s="10">
        <f>P39*$Q$71</f>
        <v>104.34295384615386</v>
      </c>
      <c r="R39" s="4">
        <f t="shared" si="19"/>
        <v>1252.1154461538463</v>
      </c>
    </row>
    <row r="40" spans="3:18" ht="12.75">
      <c r="C40" t="s">
        <v>373</v>
      </c>
      <c r="E40">
        <v>600</v>
      </c>
      <c r="G40" s="2">
        <f>G33/O40</f>
        <v>2.4692539711934156</v>
      </c>
      <c r="H40" s="2">
        <f>H33/O40</f>
        <v>3.741293895747599</v>
      </c>
      <c r="I40" s="2">
        <f>I33/O40</f>
        <v>5.013333820301782</v>
      </c>
      <c r="J40" s="2">
        <f>J33/O40</f>
        <v>7.482587791495198</v>
      </c>
      <c r="K40" s="2">
        <f t="shared" si="16"/>
        <v>14.965175582990396</v>
      </c>
      <c r="L40" s="2">
        <f t="shared" si="17"/>
        <v>22.447763374485593</v>
      </c>
      <c r="M40" s="2">
        <f t="shared" si="18"/>
        <v>29.93035116598079</v>
      </c>
      <c r="N40" t="s">
        <v>1142</v>
      </c>
      <c r="O40" s="2">
        <f>E40/13*0.9</f>
        <v>41.53846153846154</v>
      </c>
      <c r="Q40" s="10">
        <f>O40*$Q$69</f>
        <v>138.73846153846154</v>
      </c>
      <c r="R40" s="4">
        <f t="shared" si="19"/>
        <v>1664.8615384615384</v>
      </c>
    </row>
    <row r="41" spans="6:18" ht="12.75">
      <c r="F41" s="4">
        <f>E40*0.726</f>
        <v>435.59999999999997</v>
      </c>
      <c r="G41" s="2">
        <f>G$33/$P41</f>
        <v>3.4011762688614544</v>
      </c>
      <c r="H41" s="2">
        <f>H$33/$P41</f>
        <v>5.15329737706281</v>
      </c>
      <c r="I41" s="2">
        <f>I$33/$P41</f>
        <v>6.905418485264165</v>
      </c>
      <c r="J41" s="2">
        <f>J$33/$P41</f>
        <v>10.30659475412562</v>
      </c>
      <c r="K41" s="2">
        <f t="shared" si="16"/>
        <v>20.61318950825124</v>
      </c>
      <c r="L41" s="2">
        <f t="shared" si="17"/>
        <v>30.919784262376858</v>
      </c>
      <c r="M41" s="2">
        <f t="shared" si="18"/>
        <v>41.22637901650248</v>
      </c>
      <c r="P41" s="2">
        <f>F41/13*0.9</f>
        <v>30.15692307692307</v>
      </c>
      <c r="Q41" s="10">
        <f>P41*$Q$69</f>
        <v>100.72412307692305</v>
      </c>
      <c r="R41" s="4">
        <f t="shared" si="19"/>
        <v>1208.6894769230767</v>
      </c>
    </row>
    <row r="42" spans="1:18" ht="12.75">
      <c r="A42" t="s">
        <v>551</v>
      </c>
      <c r="C42" t="s">
        <v>399</v>
      </c>
      <c r="E42">
        <v>600</v>
      </c>
      <c r="G42" s="2">
        <f>G33/O42</f>
        <v>2.4692539711934156</v>
      </c>
      <c r="H42" s="2">
        <f>H33/O42</f>
        <v>3.741293895747599</v>
      </c>
      <c r="I42" s="2">
        <f>I33/O42</f>
        <v>5.013333820301782</v>
      </c>
      <c r="J42" s="2">
        <f>J33/O42</f>
        <v>7.482587791495198</v>
      </c>
      <c r="K42" s="2">
        <f t="shared" si="16"/>
        <v>14.965175582990396</v>
      </c>
      <c r="L42" s="2">
        <f t="shared" si="17"/>
        <v>22.447763374485593</v>
      </c>
      <c r="M42" s="2">
        <f t="shared" si="18"/>
        <v>29.93035116598079</v>
      </c>
      <c r="N42" t="s">
        <v>1142</v>
      </c>
      <c r="O42" s="2">
        <f>E42/13*0.9</f>
        <v>41.53846153846154</v>
      </c>
      <c r="Q42" s="10">
        <v>143.72307692307695</v>
      </c>
      <c r="R42" s="4">
        <f t="shared" si="19"/>
        <v>1724.6769230769232</v>
      </c>
    </row>
    <row r="43" spans="2:18" ht="12.75">
      <c r="B43" s="37"/>
      <c r="F43" s="4">
        <f>E42*0.726</f>
        <v>435.59999999999997</v>
      </c>
      <c r="G43" s="2">
        <f>G$33/$P43</f>
        <v>3.4011762688614544</v>
      </c>
      <c r="H43" s="2">
        <f>H$33/$P43</f>
        <v>5.15329737706281</v>
      </c>
      <c r="I43" s="2">
        <f>I$33/$P43</f>
        <v>6.905418485264165</v>
      </c>
      <c r="J43" s="2">
        <f>J$33/$P43</f>
        <v>10.30659475412562</v>
      </c>
      <c r="K43" s="2">
        <f t="shared" si="16"/>
        <v>20.61318950825124</v>
      </c>
      <c r="L43" s="2">
        <f t="shared" si="17"/>
        <v>30.919784262376858</v>
      </c>
      <c r="M43" s="2">
        <f t="shared" si="18"/>
        <v>41.22637901650248</v>
      </c>
      <c r="P43" s="2">
        <f>F43/13*0.9</f>
        <v>30.15692307692307</v>
      </c>
      <c r="Q43" s="10">
        <v>104.34295384615386</v>
      </c>
      <c r="R43" s="4">
        <f t="shared" si="19"/>
        <v>1252.1154461538463</v>
      </c>
    </row>
    <row r="44" spans="1:20" ht="12.75">
      <c r="A44" t="s">
        <v>179</v>
      </c>
      <c r="B44" s="38"/>
      <c r="C44" t="s">
        <v>373</v>
      </c>
      <c r="E44">
        <v>900</v>
      </c>
      <c r="G44" s="2">
        <f>G33/O44</f>
        <v>1.6461693141289437</v>
      </c>
      <c r="H44" s="2">
        <f>H33/O44</f>
        <v>2.4941959304983996</v>
      </c>
      <c r="I44" s="2">
        <f>I33/O44</f>
        <v>3.342222546867855</v>
      </c>
      <c r="J44" s="2">
        <f>J33/O44</f>
        <v>4.988391860996799</v>
      </c>
      <c r="K44" s="2">
        <f t="shared" si="16"/>
        <v>9.976783721993598</v>
      </c>
      <c r="L44" s="2">
        <f t="shared" si="17"/>
        <v>14.965175582990398</v>
      </c>
      <c r="M44" s="2">
        <f t="shared" si="18"/>
        <v>19.953567443987197</v>
      </c>
      <c r="N44" t="s">
        <v>1142</v>
      </c>
      <c r="O44" s="2">
        <f>E44/13*0.9</f>
        <v>62.30769230769231</v>
      </c>
      <c r="Q44" s="10">
        <f>O44*$Q$69</f>
        <v>208.1076923076923</v>
      </c>
      <c r="R44" s="4">
        <f t="shared" si="19"/>
        <v>2497.2923076923075</v>
      </c>
      <c r="S44" t="s">
        <v>954</v>
      </c>
      <c r="T44" t="s">
        <v>955</v>
      </c>
    </row>
    <row r="45" spans="1:20" ht="12.75">
      <c r="A45" t="s">
        <v>180</v>
      </c>
      <c r="B45" s="38"/>
      <c r="F45" s="4">
        <f>E44*0.726</f>
        <v>653.4</v>
      </c>
      <c r="G45" s="2">
        <f>G$33/$P45</f>
        <v>2.267450845907636</v>
      </c>
      <c r="H45" s="2">
        <f>H$33/$P45</f>
        <v>3.4355315847085395</v>
      </c>
      <c r="I45" s="2">
        <f>I$33/$P45</f>
        <v>4.603612323509442</v>
      </c>
      <c r="J45" s="2">
        <f>J$33/$P45</f>
        <v>6.871063169417079</v>
      </c>
      <c r="K45" s="2">
        <f t="shared" si="16"/>
        <v>13.742126338834158</v>
      </c>
      <c r="L45" s="2">
        <f t="shared" si="17"/>
        <v>20.61318950825124</v>
      </c>
      <c r="M45" s="2">
        <f t="shared" si="18"/>
        <v>27.484252677668316</v>
      </c>
      <c r="O45" s="2"/>
      <c r="P45" s="2">
        <f>F45/13*0.9</f>
        <v>45.23538461538461</v>
      </c>
      <c r="Q45" s="10">
        <f>P45*$Q$69</f>
        <v>151.08618461538458</v>
      </c>
      <c r="R45" s="4">
        <f t="shared" si="19"/>
        <v>1813.034215384615</v>
      </c>
      <c r="S45">
        <f>G33/8</f>
        <v>12.821126388888889</v>
      </c>
      <c r="T45">
        <f>G45/8</f>
        <v>0.2834313557384545</v>
      </c>
    </row>
    <row r="46" spans="1:18" ht="12.75">
      <c r="A46" t="s">
        <v>299</v>
      </c>
      <c r="B46" s="37"/>
      <c r="C46" t="s">
        <v>399</v>
      </c>
      <c r="E46">
        <v>900</v>
      </c>
      <c r="G46" s="2">
        <f>G33/O46</f>
        <v>1.6461693141289437</v>
      </c>
      <c r="H46" s="2">
        <f>H33/O46</f>
        <v>2.4941959304983996</v>
      </c>
      <c r="I46" s="2">
        <f>I33/O46</f>
        <v>3.342222546867855</v>
      </c>
      <c r="J46" s="2">
        <f>J33/O46</f>
        <v>4.988391860996799</v>
      </c>
      <c r="K46" s="2">
        <f t="shared" si="16"/>
        <v>9.976783721993598</v>
      </c>
      <c r="L46" s="2">
        <f t="shared" si="17"/>
        <v>14.965175582990398</v>
      </c>
      <c r="M46" s="2">
        <f t="shared" si="18"/>
        <v>19.953567443987197</v>
      </c>
      <c r="N46" t="s">
        <v>1142</v>
      </c>
      <c r="O46" s="2">
        <f>E46/13*0.9</f>
        <v>62.30769230769231</v>
      </c>
      <c r="Q46" s="10">
        <v>143.72307692307695</v>
      </c>
      <c r="R46" s="4">
        <f t="shared" si="19"/>
        <v>1724.6769230769232</v>
      </c>
    </row>
    <row r="47" spans="1:18" ht="12.75">
      <c r="A47" t="s">
        <v>178</v>
      </c>
      <c r="F47" s="4">
        <f>E46*0.726</f>
        <v>653.4</v>
      </c>
      <c r="G47" s="2">
        <f>G$33/$P47</f>
        <v>2.267450845907636</v>
      </c>
      <c r="H47" s="2">
        <f>H$33/$P47</f>
        <v>3.4355315847085395</v>
      </c>
      <c r="I47" s="2">
        <f>I$33/$P47</f>
        <v>4.603612323509442</v>
      </c>
      <c r="J47" s="2">
        <f>J$33/$P47</f>
        <v>6.871063169417079</v>
      </c>
      <c r="K47" s="2">
        <f t="shared" si="16"/>
        <v>13.742126338834158</v>
      </c>
      <c r="L47" s="2">
        <f t="shared" si="17"/>
        <v>20.61318950825124</v>
      </c>
      <c r="M47" s="2">
        <f t="shared" si="18"/>
        <v>27.484252677668316</v>
      </c>
      <c r="O47" s="2"/>
      <c r="P47" s="2">
        <f>F47/13*0.9</f>
        <v>45.23538461538461</v>
      </c>
      <c r="Q47" s="10">
        <v>104.34295384615386</v>
      </c>
      <c r="R47" s="4">
        <f t="shared" si="19"/>
        <v>1252.1154461538463</v>
      </c>
    </row>
    <row r="48" spans="1:18" ht="12.75">
      <c r="A48" t="s">
        <v>181</v>
      </c>
      <c r="B48" s="19"/>
      <c r="C48" t="s">
        <v>373</v>
      </c>
      <c r="E48">
        <v>1510</v>
      </c>
      <c r="G48" s="2">
        <f>G33/O48</f>
        <v>0.9811605183549995</v>
      </c>
      <c r="H48" s="2">
        <f>H33/O48</f>
        <v>1.4866068459924233</v>
      </c>
      <c r="I48" s="2">
        <f>I33/O48</f>
        <v>1.9920531736298472</v>
      </c>
      <c r="J48" s="2">
        <f>J33/O48</f>
        <v>2.9732136919848466</v>
      </c>
      <c r="K48" s="2">
        <f t="shared" si="16"/>
        <v>5.946427383969693</v>
      </c>
      <c r="L48" s="2">
        <f t="shared" si="17"/>
        <v>8.91964107595454</v>
      </c>
      <c r="M48" s="2">
        <f t="shared" si="18"/>
        <v>11.892854767939387</v>
      </c>
      <c r="N48" t="s">
        <v>1142</v>
      </c>
      <c r="O48" s="2">
        <f>E48/13*0.9</f>
        <v>104.53846153846155</v>
      </c>
      <c r="Q48" s="10">
        <f>O48*$Q$69</f>
        <v>349.15846153846155</v>
      </c>
      <c r="R48" s="4">
        <f t="shared" si="19"/>
        <v>4189.901538461539</v>
      </c>
    </row>
    <row r="49" spans="1:18" ht="12.75">
      <c r="A49" t="s">
        <v>334</v>
      </c>
      <c r="B49" s="19"/>
      <c r="C49" s="3"/>
      <c r="F49" s="4">
        <f>E48*0.726</f>
        <v>1096.26</v>
      </c>
      <c r="G49" s="2">
        <f>G$33/$P49</f>
        <v>1.3514607690840215</v>
      </c>
      <c r="H49" s="2">
        <f>H$33/$P49</f>
        <v>2.047667831945487</v>
      </c>
      <c r="I49" s="2">
        <f>I$33/$P49</f>
        <v>2.7438748948069525</v>
      </c>
      <c r="J49" s="2">
        <f>J$33/$P49</f>
        <v>4.095335663890974</v>
      </c>
      <c r="K49" s="2">
        <f t="shared" si="16"/>
        <v>8.190671327781947</v>
      </c>
      <c r="L49" s="2">
        <f t="shared" si="17"/>
        <v>12.28600699167292</v>
      </c>
      <c r="M49" s="2">
        <f t="shared" si="18"/>
        <v>16.381342655563895</v>
      </c>
      <c r="P49" s="2">
        <f>F49/13*0.9</f>
        <v>75.89492307692308</v>
      </c>
      <c r="Q49" s="10">
        <f>P49*$Q$69</f>
        <v>253.48904307692308</v>
      </c>
      <c r="R49" s="4">
        <f t="shared" si="19"/>
        <v>3041.868516923077</v>
      </c>
    </row>
    <row r="50" spans="1:18" ht="12.75">
      <c r="A50" t="s">
        <v>371</v>
      </c>
      <c r="B50" s="19"/>
      <c r="C50" t="s">
        <v>399</v>
      </c>
      <c r="E50">
        <v>1510</v>
      </c>
      <c r="F50" s="10"/>
      <c r="G50" s="2">
        <f>G33/O50</f>
        <v>0.9811605183549995</v>
      </c>
      <c r="H50" s="2">
        <f>H33/O50</f>
        <v>1.4866068459924233</v>
      </c>
      <c r="I50" s="2">
        <f>I33/O50</f>
        <v>1.9920531736298472</v>
      </c>
      <c r="J50" s="2">
        <f>J33/O50</f>
        <v>2.9732136919848466</v>
      </c>
      <c r="K50" s="2">
        <f t="shared" si="16"/>
        <v>5.946427383969693</v>
      </c>
      <c r="L50" s="2">
        <f t="shared" si="17"/>
        <v>8.91964107595454</v>
      </c>
      <c r="M50" s="2">
        <f t="shared" si="18"/>
        <v>11.892854767939387</v>
      </c>
      <c r="N50" t="s">
        <v>1142</v>
      </c>
      <c r="O50" s="2">
        <f>E50/13*0.9</f>
        <v>104.53846153846155</v>
      </c>
      <c r="Q50" s="10">
        <v>143.72307692307695</v>
      </c>
      <c r="R50" s="4">
        <f t="shared" si="19"/>
        <v>1724.6769230769232</v>
      </c>
    </row>
    <row r="51" spans="2:18" ht="12.75">
      <c r="B51" s="19"/>
      <c r="F51" s="4">
        <f>E50*0.726</f>
        <v>1096.26</v>
      </c>
      <c r="G51" s="2">
        <f>G$33/$P51</f>
        <v>1.3514607690840215</v>
      </c>
      <c r="H51" s="2">
        <f>H$33/$P51</f>
        <v>2.047667831945487</v>
      </c>
      <c r="I51" s="2">
        <f>I$33/$P51</f>
        <v>2.7438748948069525</v>
      </c>
      <c r="J51" s="2">
        <f>J$33/$P51</f>
        <v>4.095335663890974</v>
      </c>
      <c r="K51" s="2">
        <f t="shared" si="16"/>
        <v>8.190671327781947</v>
      </c>
      <c r="L51" s="2">
        <f t="shared" si="17"/>
        <v>12.28600699167292</v>
      </c>
      <c r="M51" s="2">
        <f t="shared" si="18"/>
        <v>16.381342655563895</v>
      </c>
      <c r="P51" s="2">
        <f>F51/13*0.9</f>
        <v>75.89492307692308</v>
      </c>
      <c r="Q51" s="10">
        <v>104.34295384615386</v>
      </c>
      <c r="R51" s="4">
        <f t="shared" si="19"/>
        <v>1252.1154461538463</v>
      </c>
    </row>
    <row r="52" spans="1:18" ht="12.75">
      <c r="A52" s="24" t="s">
        <v>552</v>
      </c>
      <c r="C52" t="s">
        <v>373</v>
      </c>
      <c r="E52">
        <v>1900</v>
      </c>
      <c r="G52" s="2">
        <f>G33/O52</f>
        <v>0.7797644119558154</v>
      </c>
      <c r="H52" s="2">
        <f>H33/O52</f>
        <v>1.1814612302360838</v>
      </c>
      <c r="I52" s="2">
        <f>I33/O52</f>
        <v>1.5831580485163523</v>
      </c>
      <c r="J52" s="2">
        <f>J33/O52</f>
        <v>2.3629224604721677</v>
      </c>
      <c r="K52" s="2">
        <f t="shared" si="16"/>
        <v>4.725844920944335</v>
      </c>
      <c r="L52" s="2">
        <f t="shared" si="17"/>
        <v>7.088767381416503</v>
      </c>
      <c r="M52" s="2">
        <f t="shared" si="18"/>
        <v>9.45168984188867</v>
      </c>
      <c r="N52" t="s">
        <v>1142</v>
      </c>
      <c r="O52" s="2">
        <f>E52/13*0.9</f>
        <v>131.53846153846155</v>
      </c>
      <c r="Q52" s="10">
        <f>O52*$Q$69</f>
        <v>439.33846153846156</v>
      </c>
      <c r="R52" s="4">
        <f t="shared" si="19"/>
        <v>5272.0615384615385</v>
      </c>
    </row>
    <row r="53" spans="1:18" ht="12.75">
      <c r="A53" t="s">
        <v>553</v>
      </c>
      <c r="C53" s="3" t="s">
        <v>971</v>
      </c>
      <c r="F53" s="4">
        <f>E52*0.726</f>
        <v>1379.3999999999999</v>
      </c>
      <c r="G53" s="2">
        <f>G$33/$P53</f>
        <v>1.0740556638509855</v>
      </c>
      <c r="H53" s="2">
        <f>H$33/$P53</f>
        <v>1.627357066440887</v>
      </c>
      <c r="I53" s="2">
        <f>I$33/$P53</f>
        <v>2.180658469030788</v>
      </c>
      <c r="J53" s="2">
        <f>J$33/$P53</f>
        <v>3.254714132881774</v>
      </c>
      <c r="K53" s="2">
        <f t="shared" si="16"/>
        <v>6.509428265763548</v>
      </c>
      <c r="L53" s="2">
        <f t="shared" si="17"/>
        <v>9.764142398645323</v>
      </c>
      <c r="M53" s="2">
        <f t="shared" si="18"/>
        <v>13.018856531527096</v>
      </c>
      <c r="P53" s="2">
        <f>F53/13*0.9</f>
        <v>95.49692307692308</v>
      </c>
      <c r="Q53" s="10">
        <f>P53*$Q$69</f>
        <v>318.95972307692307</v>
      </c>
      <c r="R53" s="4">
        <f t="shared" si="19"/>
        <v>3827.516676923077</v>
      </c>
    </row>
    <row r="54" spans="1:18" ht="12.75">
      <c r="A54" t="s">
        <v>554</v>
      </c>
      <c r="C54" t="s">
        <v>399</v>
      </c>
      <c r="E54">
        <v>1900</v>
      </c>
      <c r="G54" s="2">
        <f>G33/O54</f>
        <v>0.7797644119558154</v>
      </c>
      <c r="H54" s="2">
        <f>H33/O54</f>
        <v>1.1814612302360838</v>
      </c>
      <c r="I54" s="2">
        <f>I33/O54</f>
        <v>1.5831580485163523</v>
      </c>
      <c r="J54" s="2">
        <f>J33/O54</f>
        <v>2.3629224604721677</v>
      </c>
      <c r="K54" s="2">
        <f t="shared" si="16"/>
        <v>4.725844920944335</v>
      </c>
      <c r="L54" s="2">
        <f t="shared" si="17"/>
        <v>7.088767381416503</v>
      </c>
      <c r="M54" s="2">
        <f t="shared" si="18"/>
        <v>9.45168984188867</v>
      </c>
      <c r="N54" t="s">
        <v>1142</v>
      </c>
      <c r="O54" s="2">
        <f>E54/13*0.9</f>
        <v>131.53846153846155</v>
      </c>
      <c r="Q54" s="10">
        <v>143.72307692307695</v>
      </c>
      <c r="R54" s="4">
        <f t="shared" si="19"/>
        <v>1724.6769230769232</v>
      </c>
    </row>
    <row r="55" spans="1:18" ht="12.75">
      <c r="A55" t="s">
        <v>555</v>
      </c>
      <c r="F55" s="4">
        <f>E54*0.726</f>
        <v>1379.3999999999999</v>
      </c>
      <c r="G55" s="2">
        <f>G$33/$P55</f>
        <v>1.0740556638509855</v>
      </c>
      <c r="H55" s="2">
        <f>H$33/$P55</f>
        <v>1.627357066440887</v>
      </c>
      <c r="I55" s="2">
        <f>I$33/$P55</f>
        <v>2.180658469030788</v>
      </c>
      <c r="J55" s="2">
        <f>J$33/$P55</f>
        <v>3.254714132881774</v>
      </c>
      <c r="K55" s="2">
        <f t="shared" si="16"/>
        <v>6.509428265763548</v>
      </c>
      <c r="L55" s="2">
        <f t="shared" si="17"/>
        <v>9.764142398645323</v>
      </c>
      <c r="M55" s="2">
        <f t="shared" si="18"/>
        <v>13.018856531527096</v>
      </c>
      <c r="P55" s="2">
        <f>F55/13*0.9</f>
        <v>95.49692307692308</v>
      </c>
      <c r="Q55" s="10">
        <v>104.34295384615386</v>
      </c>
      <c r="R55" s="4">
        <f t="shared" si="19"/>
        <v>1252.1154461538463</v>
      </c>
    </row>
    <row r="56" spans="1:18" ht="12.75">
      <c r="A56" t="s">
        <v>556</v>
      </c>
      <c r="C56" t="s">
        <v>373</v>
      </c>
      <c r="E56">
        <v>2400</v>
      </c>
      <c r="G56" s="2">
        <f>G33/O56</f>
        <v>0.6173134927983539</v>
      </c>
      <c r="H56" s="2">
        <f>H33/O56</f>
        <v>0.9353234739368997</v>
      </c>
      <c r="I56" s="2">
        <f>I33/O56</f>
        <v>1.2533334550754456</v>
      </c>
      <c r="J56" s="2">
        <f>J33/O56</f>
        <v>1.8706469478737995</v>
      </c>
      <c r="K56" s="2">
        <f t="shared" si="16"/>
        <v>3.741293895747599</v>
      </c>
      <c r="L56" s="2">
        <f t="shared" si="17"/>
        <v>5.611940843621398</v>
      </c>
      <c r="M56" s="2">
        <f t="shared" si="18"/>
        <v>7.482587791495198</v>
      </c>
      <c r="N56" t="s">
        <v>1142</v>
      </c>
      <c r="O56" s="2">
        <f>E56/13*0.9</f>
        <v>166.15384615384616</v>
      </c>
      <c r="Q56" s="10">
        <f>O56*$Q$69</f>
        <v>554.9538461538461</v>
      </c>
      <c r="R56" s="4">
        <f t="shared" si="19"/>
        <v>6659.446153846154</v>
      </c>
    </row>
    <row r="57" spans="1:18" ht="12.75">
      <c r="A57" t="s">
        <v>562</v>
      </c>
      <c r="C57" s="3" t="s">
        <v>972</v>
      </c>
      <c r="F57" s="4">
        <f>E56*0.726</f>
        <v>1742.3999999999999</v>
      </c>
      <c r="G57" s="2">
        <f>G$33/$P57</f>
        <v>0.8502940672153636</v>
      </c>
      <c r="H57" s="2">
        <f>H$33/$P57</f>
        <v>1.2883243442657024</v>
      </c>
      <c r="I57" s="2">
        <f>I$33/$P57</f>
        <v>1.7263546213160412</v>
      </c>
      <c r="J57" s="2">
        <f>J$33/$P57</f>
        <v>2.576648688531405</v>
      </c>
      <c r="K57" s="2">
        <f t="shared" si="16"/>
        <v>5.15329737706281</v>
      </c>
      <c r="L57" s="2">
        <f t="shared" si="17"/>
        <v>7.7299460655942145</v>
      </c>
      <c r="M57" s="2">
        <f t="shared" si="18"/>
        <v>10.30659475412562</v>
      </c>
      <c r="P57" s="2">
        <f>F57/13*0.9</f>
        <v>120.62769230769229</v>
      </c>
      <c r="Q57" s="10">
        <f>P57*$Q$69</f>
        <v>402.8964923076922</v>
      </c>
      <c r="R57" s="4">
        <f t="shared" si="19"/>
        <v>4834.757907692307</v>
      </c>
    </row>
    <row r="58" spans="1:18" ht="12.75">
      <c r="A58" t="s">
        <v>563</v>
      </c>
      <c r="C58" t="s">
        <v>399</v>
      </c>
      <c r="E58">
        <v>2400</v>
      </c>
      <c r="G58" s="2">
        <f>G33/O58</f>
        <v>0.6173134927983539</v>
      </c>
      <c r="H58" s="2">
        <f>H33/O58</f>
        <v>0.9353234739368997</v>
      </c>
      <c r="I58" s="2">
        <f>I33/O58</f>
        <v>1.2533334550754456</v>
      </c>
      <c r="J58" s="2">
        <f>J33/O58</f>
        <v>1.8706469478737995</v>
      </c>
      <c r="K58" s="2">
        <f t="shared" si="16"/>
        <v>3.741293895747599</v>
      </c>
      <c r="L58" s="2">
        <f t="shared" si="17"/>
        <v>5.611940843621398</v>
      </c>
      <c r="M58" s="2">
        <f t="shared" si="18"/>
        <v>7.482587791495198</v>
      </c>
      <c r="N58" t="s">
        <v>1142</v>
      </c>
      <c r="O58" s="2">
        <f>E58/13*0.9</f>
        <v>166.15384615384616</v>
      </c>
      <c r="Q58" s="10">
        <v>143.72307692307695</v>
      </c>
      <c r="R58" s="4">
        <f t="shared" si="19"/>
        <v>1724.6769230769232</v>
      </c>
    </row>
    <row r="59" spans="1:18" ht="12.75">
      <c r="A59" t="s">
        <v>565</v>
      </c>
      <c r="F59" s="4">
        <f>E58*0.726</f>
        <v>1742.3999999999999</v>
      </c>
      <c r="G59" s="2">
        <f>G$33/$P59</f>
        <v>0.8502940672153636</v>
      </c>
      <c r="H59" s="2">
        <f>H$33/$P59</f>
        <v>1.2883243442657024</v>
      </c>
      <c r="I59" s="2">
        <f>I$33/$P59</f>
        <v>1.7263546213160412</v>
      </c>
      <c r="J59" s="2">
        <f>J$33/$P59</f>
        <v>2.576648688531405</v>
      </c>
      <c r="K59" s="2">
        <f t="shared" si="16"/>
        <v>5.15329737706281</v>
      </c>
      <c r="L59" s="2">
        <f t="shared" si="17"/>
        <v>7.7299460655942145</v>
      </c>
      <c r="M59" s="2">
        <f t="shared" si="18"/>
        <v>10.30659475412562</v>
      </c>
      <c r="P59" s="2">
        <f>F59/13*0.9</f>
        <v>120.62769230769229</v>
      </c>
      <c r="Q59" s="10">
        <v>104.34295384615386</v>
      </c>
      <c r="R59" s="4">
        <f t="shared" si="19"/>
        <v>1252.1154461538463</v>
      </c>
    </row>
    <row r="60" spans="1:13" ht="12.75">
      <c r="A60" t="s">
        <v>566</v>
      </c>
      <c r="G60" s="26"/>
      <c r="H60" s="26"/>
      <c r="I60" s="26"/>
      <c r="J60" s="26"/>
      <c r="K60" s="26"/>
      <c r="L60" s="26"/>
      <c r="M60" s="26"/>
    </row>
    <row r="61" spans="1:18" ht="12.75">
      <c r="A61" t="s">
        <v>569</v>
      </c>
      <c r="C61" t="s">
        <v>1143</v>
      </c>
      <c r="G61" s="25">
        <f>G33/O61</f>
        <v>1.5779847863247862</v>
      </c>
      <c r="H61" s="25">
        <f>H33/O61</f>
        <v>2.39088603988604</v>
      </c>
      <c r="I61" s="25">
        <f>I33/O61</f>
        <v>3.203787293447293</v>
      </c>
      <c r="J61" s="25">
        <f>J33/O61</f>
        <v>4.78177207977208</v>
      </c>
      <c r="K61" s="25">
        <f>J61*2</f>
        <v>9.56354415954416</v>
      </c>
      <c r="L61" s="25">
        <f>J61*3</f>
        <v>14.34531623931624</v>
      </c>
      <c r="M61" s="25">
        <f>J61*4</f>
        <v>19.12708831908832</v>
      </c>
      <c r="N61" t="s">
        <v>1142</v>
      </c>
      <c r="O61" s="4">
        <v>65</v>
      </c>
      <c r="P61" t="s">
        <v>372</v>
      </c>
      <c r="R61" t="s">
        <v>953</v>
      </c>
    </row>
    <row r="62" spans="3:18" ht="12.75">
      <c r="C62" t="s">
        <v>938</v>
      </c>
      <c r="E62">
        <v>840</v>
      </c>
      <c r="G62" s="25">
        <f aca="true" t="shared" si="20" ref="G62:M62">G33/$O62</f>
        <v>1.7637528365667254</v>
      </c>
      <c r="H62" s="25">
        <f t="shared" si="20"/>
        <v>2.6723527826768567</v>
      </c>
      <c r="I62" s="25">
        <f t="shared" si="20"/>
        <v>3.5809527287869876</v>
      </c>
      <c r="J62" s="25">
        <f t="shared" si="20"/>
        <v>5.344705565353713</v>
      </c>
      <c r="K62" s="25">
        <f t="shared" si="20"/>
        <v>10.689411130707427</v>
      </c>
      <c r="L62" s="25">
        <f t="shared" si="20"/>
        <v>16.034116696061137</v>
      </c>
      <c r="M62" s="25">
        <f t="shared" si="20"/>
        <v>21.378822261414854</v>
      </c>
      <c r="O62" s="2">
        <f>E62/13*0.9</f>
        <v>58.15384615384615</v>
      </c>
      <c r="R62" t="s">
        <v>945</v>
      </c>
    </row>
    <row r="63" spans="1:15" ht="12.75">
      <c r="A63" t="s">
        <v>940</v>
      </c>
      <c r="C63" t="s">
        <v>939</v>
      </c>
      <c r="G63" s="2"/>
      <c r="H63" s="2"/>
      <c r="I63" s="2"/>
      <c r="J63" s="22"/>
      <c r="K63" s="2"/>
      <c r="L63" s="2"/>
      <c r="M63" s="2"/>
      <c r="O63" s="2" t="s">
        <v>941</v>
      </c>
    </row>
    <row r="64" spans="7:15" ht="12.75">
      <c r="G64" s="39" t="s">
        <v>956</v>
      </c>
      <c r="H64" s="39" t="s">
        <v>957</v>
      </c>
      <c r="I64" s="39" t="s">
        <v>958</v>
      </c>
      <c r="J64" s="39" t="s">
        <v>667</v>
      </c>
      <c r="K64" s="39" t="s">
        <v>967</v>
      </c>
      <c r="L64" s="39" t="s">
        <v>968</v>
      </c>
      <c r="M64" s="39" t="s">
        <v>970</v>
      </c>
      <c r="O64" t="s">
        <v>949</v>
      </c>
    </row>
    <row r="65" spans="1:15" ht="12.75">
      <c r="A65" t="s">
        <v>401</v>
      </c>
      <c r="O65" t="s">
        <v>950</v>
      </c>
    </row>
    <row r="66" spans="1:11" ht="12.75">
      <c r="A66" t="s">
        <v>400</v>
      </c>
      <c r="G66" s="2"/>
      <c r="H66" s="2"/>
      <c r="I66" s="2"/>
      <c r="J66" s="2"/>
      <c r="K66" s="3"/>
    </row>
    <row r="67" ht="12.75">
      <c r="P67" s="20" t="s">
        <v>366</v>
      </c>
    </row>
    <row r="68" spans="15:17" ht="12.75">
      <c r="O68" t="s">
        <v>925</v>
      </c>
      <c r="P68" s="20"/>
      <c r="Q68" t="s">
        <v>924</v>
      </c>
    </row>
    <row r="69" spans="16:17" ht="12.75">
      <c r="P69" t="s">
        <v>892</v>
      </c>
      <c r="Q69">
        <v>3.34</v>
      </c>
    </row>
    <row r="71" spans="16:17" ht="12.75">
      <c r="P71" t="s">
        <v>255</v>
      </c>
      <c r="Q71">
        <v>5.19</v>
      </c>
    </row>
    <row r="73" ht="12.75">
      <c r="P73" t="s">
        <v>368</v>
      </c>
    </row>
    <row r="88" spans="1:3" ht="12.75">
      <c r="A88" s="11"/>
      <c r="B88" s="8"/>
      <c r="C88" s="8"/>
    </row>
    <row r="92" spans="1:7" ht="12.75">
      <c r="A92" s="9"/>
      <c r="E92" s="10"/>
      <c r="G92" s="10"/>
    </row>
    <row r="93" spans="1:7" ht="12.75">
      <c r="A93" s="9"/>
      <c r="E93" s="10"/>
      <c r="G93" s="10"/>
    </row>
    <row r="94" spans="1:7" ht="12.75">
      <c r="A94" s="9"/>
      <c r="E94" s="10"/>
      <c r="G94" s="10"/>
    </row>
    <row r="95" spans="1:7" ht="12.75">
      <c r="A95" s="9"/>
      <c r="E95" s="10"/>
      <c r="G95" s="10"/>
    </row>
    <row r="96" spans="1:7" ht="12.75">
      <c r="A96" s="9"/>
      <c r="E96" s="10"/>
      <c r="G96" s="10"/>
    </row>
    <row r="97" spans="1:7" ht="12.75">
      <c r="A97" s="9"/>
      <c r="E97" s="10"/>
      <c r="G97" s="10"/>
    </row>
    <row r="98" spans="1:7" ht="12.75">
      <c r="A98" s="9"/>
      <c r="E98" s="10"/>
      <c r="G98" s="10"/>
    </row>
    <row r="99" spans="1:7" ht="12.75">
      <c r="A99" s="9"/>
      <c r="E99" s="10"/>
      <c r="G99" s="10"/>
    </row>
    <row r="100" spans="1:7" ht="12.75">
      <c r="A100" s="9"/>
      <c r="E100" s="10"/>
      <c r="G100" s="10"/>
    </row>
    <row r="101" spans="1:7" ht="12.75">
      <c r="A101" s="9"/>
      <c r="E101" s="10"/>
      <c r="G101" s="10"/>
    </row>
    <row r="102" spans="1:7" ht="12.75">
      <c r="A102" s="9"/>
      <c r="E102" s="10"/>
      <c r="G102" s="10"/>
    </row>
    <row r="110" spans="4:13" ht="12.75">
      <c r="D110" s="1"/>
      <c r="E110" s="1"/>
      <c r="F110" s="1"/>
      <c r="G110" s="1"/>
      <c r="H110" s="1"/>
      <c r="I110" s="1"/>
      <c r="J110" s="1"/>
      <c r="K110" s="1"/>
      <c r="M110" s="1"/>
    </row>
    <row r="111" spans="4:12" ht="12.75">
      <c r="D111" s="2"/>
      <c r="E111" s="2"/>
      <c r="F111" s="4"/>
      <c r="G111" s="2"/>
      <c r="H111" s="2"/>
      <c r="I111" s="2"/>
      <c r="J111" s="2"/>
      <c r="K111" s="2"/>
      <c r="L111" s="2"/>
    </row>
    <row r="112" spans="4:12" ht="12.75">
      <c r="D112" s="2"/>
      <c r="E112" s="2"/>
      <c r="F112" s="4"/>
      <c r="G112" s="2"/>
      <c r="H112" s="2"/>
      <c r="I112" s="2"/>
      <c r="J112" s="2"/>
      <c r="K112" s="2"/>
      <c r="L112" s="2"/>
    </row>
    <row r="113" spans="4:12" ht="12.75">
      <c r="D113" s="2"/>
      <c r="E113" s="2"/>
      <c r="F113" s="4"/>
      <c r="G113" s="2"/>
      <c r="H113" s="2"/>
      <c r="I113" s="2"/>
      <c r="J113" s="2"/>
      <c r="K113" s="2"/>
      <c r="L113" s="2"/>
    </row>
    <row r="114" spans="4:12" ht="12.75">
      <c r="D114" s="2"/>
      <c r="E114" s="2"/>
      <c r="F114" s="4"/>
      <c r="G114" s="2"/>
      <c r="H114" s="2"/>
      <c r="I114" s="2"/>
      <c r="J114" s="2"/>
      <c r="K114" s="2"/>
      <c r="L114" s="2"/>
    </row>
    <row r="115" spans="4:12" ht="12.75">
      <c r="D115" s="2"/>
      <c r="E115" s="2"/>
      <c r="F115" s="4"/>
      <c r="G115" s="2"/>
      <c r="H115" s="2"/>
      <c r="I115" s="2"/>
      <c r="J115" s="2"/>
      <c r="K115" s="2"/>
      <c r="L115" s="2"/>
    </row>
    <row r="116" spans="4:12" ht="12.75">
      <c r="D116" s="2"/>
      <c r="E116" s="2"/>
      <c r="F116" s="4"/>
      <c r="G116" s="2"/>
      <c r="H116" s="2"/>
      <c r="I116" s="2"/>
      <c r="J116" s="2"/>
      <c r="K116" s="2"/>
      <c r="L116" s="2"/>
    </row>
    <row r="117" spans="4:12" ht="12.75">
      <c r="D117" s="2"/>
      <c r="E117" s="2"/>
      <c r="F117" s="4"/>
      <c r="G117" s="2"/>
      <c r="H117" s="2"/>
      <c r="I117" s="2"/>
      <c r="J117" s="2"/>
      <c r="K117" s="2"/>
      <c r="L117" s="2"/>
    </row>
    <row r="118" spans="4:12" ht="12.75">
      <c r="D118" s="2"/>
      <c r="E118" s="2"/>
      <c r="F118" s="4"/>
      <c r="G118" s="2"/>
      <c r="H118" s="2"/>
      <c r="I118" s="2"/>
      <c r="J118" s="2"/>
      <c r="K118" s="2"/>
      <c r="L118" s="2"/>
    </row>
    <row r="119" spans="4:12" ht="12.75">
      <c r="D119" s="2"/>
      <c r="E119" s="2"/>
      <c r="F119" s="4"/>
      <c r="G119" s="2"/>
      <c r="H119" s="2"/>
      <c r="I119" s="2"/>
      <c r="J119" s="2"/>
      <c r="K119" s="2"/>
      <c r="L119" s="2"/>
    </row>
    <row r="120" spans="4:12" ht="12.75">
      <c r="D120" s="2"/>
      <c r="E120" s="2"/>
      <c r="F120" s="4"/>
      <c r="G120" s="2"/>
      <c r="H120" s="2"/>
      <c r="I120" s="2"/>
      <c r="J120" s="2"/>
      <c r="K120" s="2"/>
      <c r="L120" s="2"/>
    </row>
    <row r="121" spans="3:12" ht="12.75">
      <c r="C121" s="2"/>
      <c r="D121" s="2"/>
      <c r="E121" s="2"/>
      <c r="F121" s="4"/>
      <c r="G121" s="2"/>
      <c r="H121" s="2"/>
      <c r="I121" s="2"/>
      <c r="J121" s="2"/>
      <c r="K121" s="2"/>
      <c r="L121" s="2"/>
    </row>
    <row r="122" spans="1:12" ht="12.75">
      <c r="A122" s="8"/>
      <c r="C122" s="2"/>
      <c r="D122" s="2"/>
      <c r="E122" s="2"/>
      <c r="F122" s="4"/>
      <c r="G122" s="2"/>
      <c r="H122" s="2"/>
      <c r="I122" s="2"/>
      <c r="J122" s="2"/>
      <c r="K122" s="2"/>
      <c r="L122" s="2"/>
    </row>
    <row r="124" ht="12.75">
      <c r="A124" s="3"/>
    </row>
    <row r="125" ht="12.75">
      <c r="A125" s="3"/>
    </row>
    <row r="126" ht="12.75">
      <c r="A126" s="3"/>
    </row>
    <row r="127" ht="12.75">
      <c r="A127" s="3"/>
    </row>
    <row r="128" ht="12.75">
      <c r="A128" s="3"/>
    </row>
    <row r="129" ht="12.75">
      <c r="A129" s="3"/>
    </row>
    <row r="130" ht="12.75">
      <c r="A130" s="3"/>
    </row>
    <row r="132" ht="12.75">
      <c r="A132" s="3"/>
    </row>
    <row r="133" ht="12.75">
      <c r="A133" s="3"/>
    </row>
    <row r="134" ht="12.75">
      <c r="A134" s="3"/>
    </row>
    <row r="135" ht="12.75">
      <c r="L135" s="3"/>
    </row>
    <row r="136" ht="12.75">
      <c r="L136" s="3"/>
    </row>
    <row r="143" ht="12.75">
      <c r="M143" s="21"/>
    </row>
    <row r="146" spans="7:12" ht="12.75">
      <c r="G146" s="2"/>
      <c r="H146" s="2"/>
      <c r="I146" s="2"/>
      <c r="J146" s="2"/>
      <c r="K146" s="2"/>
      <c r="L146" s="2"/>
    </row>
    <row r="147" spans="7:12" ht="12.75">
      <c r="G147" s="2"/>
      <c r="H147" s="2"/>
      <c r="I147" s="2"/>
      <c r="J147" s="2"/>
      <c r="K147" s="2"/>
      <c r="L147" s="2"/>
    </row>
    <row r="158" spans="9:16" ht="12.75">
      <c r="I158" s="17"/>
      <c r="P158" s="20" t="s">
        <v>366</v>
      </c>
    </row>
    <row r="159" spans="15:17" ht="12.75">
      <c r="O159" t="s">
        <v>925</v>
      </c>
      <c r="P159" s="20"/>
      <c r="Q159" t="s">
        <v>924</v>
      </c>
    </row>
    <row r="160" spans="16:17" ht="12.75">
      <c r="P160" t="s">
        <v>892</v>
      </c>
      <c r="Q160">
        <v>3.34</v>
      </c>
    </row>
    <row r="162" spans="16:17" ht="12.75">
      <c r="P162" t="s">
        <v>255</v>
      </c>
      <c r="Q162">
        <v>5.19</v>
      </c>
    </row>
    <row r="164" ht="12.75">
      <c r="P164" t="s">
        <v>368</v>
      </c>
    </row>
    <row r="182" ht="12.75">
      <c r="G182" s="10"/>
    </row>
    <row r="183" ht="12.75">
      <c r="G183" s="10"/>
    </row>
    <row r="184" ht="12.75">
      <c r="G184" s="10"/>
    </row>
    <row r="185" ht="12.75">
      <c r="G185" s="10"/>
    </row>
    <row r="189" spans="7:8" ht="12.75">
      <c r="G189" s="10"/>
      <c r="H189" s="10"/>
    </row>
    <row r="197" spans="3:14" ht="12.75">
      <c r="C197" s="8"/>
      <c r="H197" s="2"/>
      <c r="I197" s="2"/>
      <c r="J197" s="2"/>
      <c r="K197" s="2"/>
      <c r="L197" s="2"/>
      <c r="M197" s="2"/>
      <c r="N197" s="10"/>
    </row>
    <row r="198" spans="1:13" ht="12.75">
      <c r="A198" s="15"/>
      <c r="G198" s="2"/>
      <c r="H198" s="2"/>
      <c r="I198" s="2"/>
      <c r="J198" s="2"/>
      <c r="K198" s="2"/>
      <c r="L198" s="2"/>
      <c r="M198" s="2"/>
    </row>
    <row r="199" spans="7:13" ht="12.75">
      <c r="G199" s="2"/>
      <c r="H199" s="2"/>
      <c r="I199" s="2"/>
      <c r="J199" s="2"/>
      <c r="K199" s="2"/>
      <c r="L199" s="2"/>
      <c r="M199" s="2"/>
    </row>
    <row r="200" spans="7:13" ht="12.75">
      <c r="G200" s="2"/>
      <c r="H200" s="2"/>
      <c r="I200" s="2"/>
      <c r="J200" s="2"/>
      <c r="K200" s="2"/>
      <c r="L200" s="2"/>
      <c r="M200" s="2"/>
    </row>
    <row r="201" spans="7:19" ht="12.75">
      <c r="G201" s="2"/>
      <c r="H201" s="2"/>
      <c r="I201" s="2"/>
      <c r="J201" s="2"/>
      <c r="K201" s="2"/>
      <c r="L201" s="2"/>
      <c r="M201" s="2"/>
      <c r="S201" s="20"/>
    </row>
    <row r="202" spans="7:20" ht="12.75">
      <c r="G202" s="2"/>
      <c r="H202" s="2"/>
      <c r="I202" s="2"/>
      <c r="J202" s="2"/>
      <c r="K202" s="2"/>
      <c r="L202" s="2"/>
      <c r="M202" s="2"/>
      <c r="T202" s="10">
        <f>Q163*1.225</f>
        <v>0</v>
      </c>
    </row>
    <row r="203" spans="7:20" ht="12.75">
      <c r="G203" s="2"/>
      <c r="H203" s="2"/>
      <c r="I203" s="2"/>
      <c r="J203" s="2"/>
      <c r="K203" s="2"/>
      <c r="L203" s="2"/>
      <c r="M203" s="2"/>
      <c r="T203" s="10" t="e">
        <f>#REF!*1.225</f>
        <v>#REF!</v>
      </c>
    </row>
    <row r="204" spans="7:13" ht="12.75">
      <c r="G204" s="2"/>
      <c r="H204" s="2"/>
      <c r="I204" s="2"/>
      <c r="J204" s="2"/>
      <c r="K204" s="2"/>
      <c r="L204" s="2"/>
      <c r="M204" s="2"/>
    </row>
    <row r="205" spans="7:13" ht="12.75">
      <c r="G205" s="2"/>
      <c r="H205" s="2"/>
      <c r="I205" s="2"/>
      <c r="J205" s="2"/>
      <c r="K205" s="2"/>
      <c r="L205" s="2"/>
      <c r="M205" s="2"/>
    </row>
    <row r="206" spans="2:13" ht="12.75">
      <c r="B206" s="8"/>
      <c r="G206" s="2"/>
      <c r="H206" s="2"/>
      <c r="I206" s="2"/>
      <c r="J206" s="2"/>
      <c r="K206" s="2"/>
      <c r="L206" s="2"/>
      <c r="M206" s="2"/>
    </row>
    <row r="207" spans="2:13" ht="12.75">
      <c r="B207" s="23"/>
      <c r="G207" s="2"/>
      <c r="H207" s="2"/>
      <c r="I207" s="2"/>
      <c r="J207" s="2"/>
      <c r="K207" s="2"/>
      <c r="L207" s="2"/>
      <c r="M207" s="2"/>
    </row>
    <row r="208" spans="7:13" ht="12.75">
      <c r="G208" s="2"/>
      <c r="H208" s="2"/>
      <c r="I208" s="2"/>
      <c r="J208" s="2"/>
      <c r="K208" s="2"/>
      <c r="L208" s="2"/>
      <c r="M208" s="2"/>
    </row>
    <row r="209" spans="7:13" ht="12.75">
      <c r="G209" s="2"/>
      <c r="H209" s="2"/>
      <c r="I209" s="2"/>
      <c r="J209" s="2"/>
      <c r="K209" s="2"/>
      <c r="L209" s="2"/>
      <c r="M209" s="2"/>
    </row>
    <row r="210" spans="7:13" ht="12.75">
      <c r="G210" s="2"/>
      <c r="H210" s="2"/>
      <c r="I210" s="2"/>
      <c r="J210" s="2"/>
      <c r="K210" s="2"/>
      <c r="L210" s="2"/>
      <c r="M210" s="2"/>
    </row>
    <row r="211" spans="7:13" ht="12.75">
      <c r="G211" s="2"/>
      <c r="H211" s="2"/>
      <c r="I211" s="2"/>
      <c r="J211" s="2"/>
      <c r="K211" s="2"/>
      <c r="L211" s="2"/>
      <c r="M211" s="2"/>
    </row>
    <row r="212" spans="7:13" ht="12.75">
      <c r="G212" s="2"/>
      <c r="H212" s="2"/>
      <c r="I212" s="2"/>
      <c r="J212" s="2"/>
      <c r="K212" s="2"/>
      <c r="L212" s="2"/>
      <c r="M212" s="2"/>
    </row>
    <row r="213" spans="7:15" ht="12.75">
      <c r="G213" s="2"/>
      <c r="H213" s="2"/>
      <c r="I213" s="2"/>
      <c r="J213" s="2"/>
      <c r="K213" s="2"/>
      <c r="L213" s="2"/>
      <c r="M213" s="2"/>
      <c r="O213" s="4"/>
    </row>
    <row r="216" ht="12.75">
      <c r="B216" s="23"/>
    </row>
    <row r="217" ht="12.75">
      <c r="B217" s="23"/>
    </row>
    <row r="218" ht="12.75">
      <c r="B218" s="23"/>
    </row>
    <row r="219" ht="12.75">
      <c r="B219" s="23"/>
    </row>
    <row r="220" ht="12.75">
      <c r="B220" s="23"/>
    </row>
    <row r="247" ht="12.75">
      <c r="A247" t="s">
        <v>20</v>
      </c>
    </row>
  </sheetData>
  <sheetProtection/>
  <conditionalFormatting sqref="G34:M34">
    <cfRule type="expression" priority="1" dxfId="0" stopIfTrue="1">
      <formula>G30&lt;=$O$15</formula>
    </cfRule>
    <cfRule type="expression" priority="2" dxfId="4" stopIfTrue="1">
      <formula>G30&gt;$O$15</formula>
    </cfRule>
  </conditionalFormatting>
  <conditionalFormatting sqref="G63:M63">
    <cfRule type="expression" priority="3" dxfId="0" stopIfTrue="1">
      <formula>G30&lt;=$O$15</formula>
    </cfRule>
    <cfRule type="expression" priority="4" dxfId="4" stopIfTrue="1">
      <formula>G30&gt;$O$15</formula>
    </cfRule>
  </conditionalFormatting>
  <conditionalFormatting sqref="H197:N197">
    <cfRule type="cellIs" priority="5" dxfId="4" operator="greaterThan" stopIfTrue="1">
      <formula>$Q$163</formula>
    </cfRule>
  </conditionalFormatting>
  <conditionalFormatting sqref="G199:M199 G201:M201">
    <cfRule type="cellIs" priority="6" dxfId="5" operator="lessThanOrEqual" stopIfTrue="1">
      <formula>$T$202</formula>
    </cfRule>
    <cfRule type="cellIs" priority="7" dxfId="10" operator="greaterThan" stopIfTrue="1">
      <formula>$T$202</formula>
    </cfRule>
  </conditionalFormatting>
  <conditionalFormatting sqref="G200:M200 G202:M202">
    <cfRule type="cellIs" priority="8" dxfId="5" operator="lessThanOrEqual" stopIfTrue="1">
      <formula>$T$203</formula>
    </cfRule>
    <cfRule type="cellIs" priority="9" dxfId="10" operator="greaterThan" stopIfTrue="1">
      <formula>$T$203</formula>
    </cfRule>
  </conditionalFormatting>
  <conditionalFormatting sqref="G61:M62">
    <cfRule type="cellIs" priority="10" dxfId="0" operator="lessThan" stopIfTrue="1">
      <formula>24</formula>
    </cfRule>
    <cfRule type="cellIs" priority="11" dxfId="4" operator="greaterThanOrEqual" stopIfTrue="1">
      <formula>24</formula>
    </cfRule>
  </conditionalFormatting>
  <conditionalFormatting sqref="G60:M60">
    <cfRule type="cellIs" priority="12" dxfId="0" operator="lessThanOrEqual" stopIfTrue="1">
      <formula>#REF!</formula>
    </cfRule>
    <cfRule type="cellIs" priority="13" dxfId="4" operator="greaterThan" stopIfTrue="1">
      <formula>#REF!</formula>
    </cfRule>
  </conditionalFormatting>
  <conditionalFormatting sqref="G30:M30">
    <cfRule type="cellIs" priority="14" dxfId="4" operator="greaterThan" stopIfTrue="1">
      <formula>$O$15</formula>
    </cfRule>
    <cfRule type="cellIs" priority="15" dxfId="5" operator="lessThanOrEqual" stopIfTrue="1">
      <formula>$O$15</formula>
    </cfRule>
  </conditionalFormatting>
  <conditionalFormatting sqref="B29">
    <cfRule type="cellIs" priority="16" dxfId="4" operator="greaterThan" stopIfTrue="1">
      <formula>$O$17</formula>
    </cfRule>
  </conditionalFormatting>
  <conditionalFormatting sqref="G36:M37 G40:M41 G44:M45 G48:M49 G52:M53 G56:M57">
    <cfRule type="cellIs" priority="17" dxfId="0" operator="lessThanOrEqual" stopIfTrue="1">
      <formula>$Q$69</formula>
    </cfRule>
    <cfRule type="cellIs" priority="18" dxfId="10" operator="greaterThan" stopIfTrue="1">
      <formula>$Q$69</formula>
    </cfRule>
  </conditionalFormatting>
  <conditionalFormatting sqref="G38:M39 G42:M43 G46:M47 G50:M51 G54:M55 G58:M59">
    <cfRule type="cellIs" priority="19" dxfId="0" operator="lessThanOrEqual" stopIfTrue="1">
      <formula>$Q$71</formula>
    </cfRule>
    <cfRule type="cellIs" priority="20" dxfId="12" operator="greaterThan" stopIfTrue="1">
      <formula>$Q$71</formula>
    </cfRule>
  </conditionalFormatting>
  <conditionalFormatting sqref="K32:M32">
    <cfRule type="cellIs" priority="21" dxfId="27" operator="greaterThanOrEqual" stopIfTrue="1">
      <formula>60</formula>
    </cfRule>
  </conditionalFormatting>
  <printOptions/>
  <pageMargins left="0.75" right="0.75" top="1" bottom="1" header="0.5" footer="0.5"/>
  <pageSetup orientation="portrait" r:id="rId1"/>
  <ignoredErrors>
    <ignoredError sqref="Q38" unlockedFormula="1"/>
  </ignoredErrors>
</worksheet>
</file>

<file path=xl/worksheets/sheet11.xml><?xml version="1.0" encoding="utf-8"?>
<worksheet xmlns="http://schemas.openxmlformats.org/spreadsheetml/2006/main" xmlns:r="http://schemas.openxmlformats.org/officeDocument/2006/relationships">
  <dimension ref="A1:X308"/>
  <sheetViews>
    <sheetView zoomScalePageLayoutView="0" workbookViewId="0" topLeftCell="A1">
      <pane ySplit="3" topLeftCell="A4" activePane="bottomLeft" state="frozen"/>
      <selection pane="topLeft" activeCell="A1" sqref="A1"/>
      <selection pane="bottomLeft" activeCell="D21" sqref="D21"/>
    </sheetView>
  </sheetViews>
  <sheetFormatPr defaultColWidth="9.140625" defaultRowHeight="12.75"/>
  <cols>
    <col min="1" max="1" width="19.00390625" style="0" customWidth="1"/>
    <col min="2" max="2" width="6.28125" style="0" customWidth="1"/>
    <col min="3" max="3" width="8.140625" style="0" customWidth="1"/>
    <col min="5" max="5" width="7.00390625" style="0" customWidth="1"/>
    <col min="6" max="6" width="7.28125" style="0" customWidth="1"/>
    <col min="7" max="7" width="7.00390625" style="0" customWidth="1"/>
    <col min="14" max="14" width="5.57421875" style="0" customWidth="1"/>
    <col min="15" max="15" width="6.28125" style="0" customWidth="1"/>
    <col min="16" max="16" width="6.57421875" style="0" customWidth="1"/>
    <col min="17" max="17" width="6.8515625" style="0" customWidth="1"/>
    <col min="18" max="18" width="6.140625" style="0" customWidth="1"/>
    <col min="19" max="19" width="10.140625" style="0" customWidth="1"/>
    <col min="20" max="20" width="4.7109375" style="0" customWidth="1"/>
    <col min="21" max="21" width="5.28125" style="0" customWidth="1"/>
  </cols>
  <sheetData>
    <row r="1" spans="1:7" ht="12.75">
      <c r="A1" s="50" t="s">
        <v>676</v>
      </c>
      <c r="G1" s="8" t="s">
        <v>875</v>
      </c>
    </row>
    <row r="2" spans="1:22" ht="28.5" customHeight="1">
      <c r="A2" s="18" t="s">
        <v>1078</v>
      </c>
      <c r="B2" s="18" t="s">
        <v>1079</v>
      </c>
      <c r="C2" s="18" t="s">
        <v>1043</v>
      </c>
      <c r="D2" s="18" t="s">
        <v>1044</v>
      </c>
      <c r="E2" s="18" t="s">
        <v>1045</v>
      </c>
      <c r="F2" s="18" t="s">
        <v>425</v>
      </c>
      <c r="G2" s="18" t="s">
        <v>1038</v>
      </c>
      <c r="H2" s="18" t="s">
        <v>1039</v>
      </c>
      <c r="I2" s="18" t="s">
        <v>1040</v>
      </c>
      <c r="J2" s="18" t="s">
        <v>1041</v>
      </c>
      <c r="K2" s="18" t="s">
        <v>967</v>
      </c>
      <c r="L2" s="18" t="s">
        <v>968</v>
      </c>
      <c r="M2" s="18" t="s">
        <v>1042</v>
      </c>
      <c r="N2" s="59" t="s">
        <v>1062</v>
      </c>
      <c r="O2" s="58"/>
      <c r="P2" s="58"/>
      <c r="Q2" s="58"/>
      <c r="R2" s="58"/>
      <c r="S2" s="57"/>
      <c r="T2" s="57" t="s">
        <v>277</v>
      </c>
      <c r="U2" s="57"/>
      <c r="V2" s="57"/>
    </row>
    <row r="3" spans="1:20" ht="12.75">
      <c r="A3" s="18" t="s">
        <v>1020</v>
      </c>
      <c r="B3" s="18"/>
      <c r="C3" s="18"/>
      <c r="D3" s="18"/>
      <c r="E3" s="18"/>
      <c r="F3" s="18"/>
      <c r="G3" s="44">
        <v>8</v>
      </c>
      <c r="H3" s="18"/>
      <c r="I3" s="18"/>
      <c r="J3" s="18"/>
      <c r="K3" s="18"/>
      <c r="L3" s="18"/>
      <c r="M3" s="44">
        <v>7</v>
      </c>
      <c r="N3" s="60" t="s">
        <v>1063</v>
      </c>
      <c r="T3" s="69" t="s">
        <v>525</v>
      </c>
    </row>
    <row r="4" spans="1:15" ht="12.75">
      <c r="A4" s="20" t="s">
        <v>402</v>
      </c>
      <c r="C4" s="2">
        <f aca="true" t="shared" si="0" ref="C4:C9">B4/($O$18/100)/12</f>
        <v>0</v>
      </c>
      <c r="D4" s="2">
        <v>5.4</v>
      </c>
      <c r="E4" s="2">
        <f aca="true" t="shared" si="1" ref="E4:E30">C4*D4</f>
        <v>0</v>
      </c>
      <c r="F4" s="4">
        <f aca="true" t="shared" si="2" ref="F4:F9">(B4*D4)/($O$18/100)</f>
        <v>0</v>
      </c>
      <c r="G4" s="2">
        <f aca="true" t="shared" si="3" ref="G4:G30">J4*(G$3/24)</f>
        <v>0</v>
      </c>
      <c r="H4" s="2">
        <f aca="true" t="shared" si="4" ref="H4:H30">J4*0.5</f>
        <v>0</v>
      </c>
      <c r="I4" s="2">
        <f aca="true" t="shared" si="5" ref="I4:I30">J4*0.67</f>
        <v>0</v>
      </c>
      <c r="J4" s="2">
        <f aca="true" t="shared" si="6" ref="J4:J30">E4*$X$16</f>
        <v>0</v>
      </c>
      <c r="K4" s="2">
        <f aca="true" t="shared" si="7" ref="K4:K30">J4*2</f>
        <v>0</v>
      </c>
      <c r="L4" s="2">
        <f aca="true" t="shared" si="8" ref="L4:L30">J4*3</f>
        <v>0</v>
      </c>
      <c r="M4" s="2">
        <f aca="true" t="shared" si="9" ref="M4:M30">J4*M$3</f>
        <v>0</v>
      </c>
      <c r="O4" s="8" t="s">
        <v>295</v>
      </c>
    </row>
    <row r="5" spans="1:15" ht="12.75">
      <c r="A5" s="27" t="s">
        <v>1109</v>
      </c>
      <c r="C5" s="2">
        <f t="shared" si="0"/>
        <v>0</v>
      </c>
      <c r="D5" s="2">
        <v>24</v>
      </c>
      <c r="E5" s="2">
        <f t="shared" si="1"/>
        <v>0</v>
      </c>
      <c r="F5" s="4">
        <f t="shared" si="2"/>
        <v>0</v>
      </c>
      <c r="G5" s="2">
        <f t="shared" si="3"/>
        <v>0</v>
      </c>
      <c r="H5" s="2">
        <f t="shared" si="4"/>
        <v>0</v>
      </c>
      <c r="I5" s="2">
        <f t="shared" si="5"/>
        <v>0</v>
      </c>
      <c r="J5" s="2">
        <f t="shared" si="6"/>
        <v>0</v>
      </c>
      <c r="K5" s="2">
        <f t="shared" si="7"/>
        <v>0</v>
      </c>
      <c r="L5" s="2">
        <f t="shared" si="8"/>
        <v>0</v>
      </c>
      <c r="M5" s="2">
        <f t="shared" si="9"/>
        <v>0</v>
      </c>
      <c r="O5" s="8" t="s">
        <v>297</v>
      </c>
    </row>
    <row r="6" spans="1:15" ht="12.75">
      <c r="A6" t="s">
        <v>300</v>
      </c>
      <c r="C6" s="2">
        <f t="shared" si="0"/>
        <v>0</v>
      </c>
      <c r="D6" s="2">
        <v>24</v>
      </c>
      <c r="E6" s="2">
        <f t="shared" si="1"/>
        <v>0</v>
      </c>
      <c r="F6" s="4">
        <f t="shared" si="2"/>
        <v>0</v>
      </c>
      <c r="G6" s="2">
        <f t="shared" si="3"/>
        <v>0</v>
      </c>
      <c r="H6" s="2">
        <f t="shared" si="4"/>
        <v>0</v>
      </c>
      <c r="I6" s="2">
        <f t="shared" si="5"/>
        <v>0</v>
      </c>
      <c r="J6" s="2">
        <f t="shared" si="6"/>
        <v>0</v>
      </c>
      <c r="K6" s="2">
        <f t="shared" si="7"/>
        <v>0</v>
      </c>
      <c r="L6" s="2">
        <f t="shared" si="8"/>
        <v>0</v>
      </c>
      <c r="M6" s="2">
        <f t="shared" si="9"/>
        <v>0</v>
      </c>
      <c r="O6" s="8" t="s">
        <v>103</v>
      </c>
    </row>
    <row r="7" spans="1:15" ht="12.75">
      <c r="A7" s="28" t="s">
        <v>456</v>
      </c>
      <c r="B7">
        <v>14</v>
      </c>
      <c r="C7" s="2">
        <f t="shared" si="0"/>
        <v>1.2962962962962963</v>
      </c>
      <c r="D7" s="2">
        <v>24</v>
      </c>
      <c r="E7" s="2">
        <f t="shared" si="1"/>
        <v>31.11111111111111</v>
      </c>
      <c r="F7" s="4">
        <f t="shared" si="2"/>
        <v>373.3333333333333</v>
      </c>
      <c r="G7" s="2">
        <f t="shared" si="3"/>
        <v>20.74074074074074</v>
      </c>
      <c r="H7" s="2">
        <f t="shared" si="4"/>
        <v>31.11111111111111</v>
      </c>
      <c r="I7" s="2">
        <f t="shared" si="5"/>
        <v>41.68888888888889</v>
      </c>
      <c r="J7" s="2">
        <f t="shared" si="6"/>
        <v>62.22222222222222</v>
      </c>
      <c r="K7" s="2">
        <f t="shared" si="7"/>
        <v>124.44444444444444</v>
      </c>
      <c r="L7" s="2">
        <f t="shared" si="8"/>
        <v>186.66666666666666</v>
      </c>
      <c r="M7" s="2">
        <f t="shared" si="9"/>
        <v>435.55555555555554</v>
      </c>
      <c r="O7" s="8" t="s">
        <v>104</v>
      </c>
    </row>
    <row r="8" spans="1:15" ht="12.75">
      <c r="A8" t="s">
        <v>891</v>
      </c>
      <c r="B8">
        <v>16</v>
      </c>
      <c r="C8" s="2">
        <f t="shared" si="0"/>
        <v>1.4814814814814816</v>
      </c>
      <c r="D8" s="2">
        <v>24</v>
      </c>
      <c r="E8" s="2">
        <f t="shared" si="1"/>
        <v>35.55555555555556</v>
      </c>
      <c r="F8" s="4">
        <f t="shared" si="2"/>
        <v>426.66666666666663</v>
      </c>
      <c r="G8" s="2">
        <f t="shared" si="3"/>
        <v>23.703703703703702</v>
      </c>
      <c r="H8" s="2">
        <f t="shared" si="4"/>
        <v>35.55555555555556</v>
      </c>
      <c r="I8" s="2">
        <f t="shared" si="5"/>
        <v>47.64444444444445</v>
      </c>
      <c r="J8" s="2">
        <f t="shared" si="6"/>
        <v>71.11111111111111</v>
      </c>
      <c r="K8" s="2">
        <f t="shared" si="7"/>
        <v>142.22222222222223</v>
      </c>
      <c r="L8" s="2">
        <f t="shared" si="8"/>
        <v>213.33333333333334</v>
      </c>
      <c r="M8" s="2">
        <f t="shared" si="9"/>
        <v>497.7777777777778</v>
      </c>
      <c r="O8" s="8" t="s">
        <v>105</v>
      </c>
    </row>
    <row r="9" spans="1:15" ht="12.75">
      <c r="A9" t="s">
        <v>894</v>
      </c>
      <c r="B9">
        <v>20</v>
      </c>
      <c r="C9" s="2">
        <f t="shared" si="0"/>
        <v>1.8518518518518519</v>
      </c>
      <c r="D9" s="2">
        <v>12</v>
      </c>
      <c r="E9" s="2">
        <f t="shared" si="1"/>
        <v>22.22222222222222</v>
      </c>
      <c r="F9" s="4">
        <f t="shared" si="2"/>
        <v>266.6666666666667</v>
      </c>
      <c r="G9" s="2">
        <f t="shared" si="3"/>
        <v>14.814814814814813</v>
      </c>
      <c r="H9" s="2">
        <f t="shared" si="4"/>
        <v>22.22222222222222</v>
      </c>
      <c r="I9" s="2">
        <f t="shared" si="5"/>
        <v>29.77777777777778</v>
      </c>
      <c r="J9" s="2">
        <f t="shared" si="6"/>
        <v>44.44444444444444</v>
      </c>
      <c r="K9" s="2">
        <f t="shared" si="7"/>
        <v>88.88888888888889</v>
      </c>
      <c r="L9" s="2">
        <f t="shared" si="8"/>
        <v>133.33333333333331</v>
      </c>
      <c r="M9" s="2">
        <f t="shared" si="9"/>
        <v>311.1111111111111</v>
      </c>
      <c r="O9" s="8" t="s">
        <v>106</v>
      </c>
    </row>
    <row r="10" spans="1:15" ht="12.75">
      <c r="A10" s="28" t="s">
        <v>398</v>
      </c>
      <c r="B10" t="s">
        <v>1084</v>
      </c>
      <c r="C10" s="49">
        <f>IF(B31&gt;80,MAX(0,(1-B31/400)*O20),O20)</f>
        <v>0.1875</v>
      </c>
      <c r="D10" s="2">
        <v>24</v>
      </c>
      <c r="E10" s="2">
        <f t="shared" si="1"/>
        <v>4.5</v>
      </c>
      <c r="F10" s="4">
        <f>E10*12.6</f>
        <v>56.699999999999996</v>
      </c>
      <c r="G10" s="2">
        <f t="shared" si="3"/>
        <v>3</v>
      </c>
      <c r="H10" s="2">
        <f t="shared" si="4"/>
        <v>4.5</v>
      </c>
      <c r="I10" s="2">
        <f t="shared" si="5"/>
        <v>6.03</v>
      </c>
      <c r="J10" s="2">
        <f t="shared" si="6"/>
        <v>9</v>
      </c>
      <c r="K10" s="2">
        <f t="shared" si="7"/>
        <v>18</v>
      </c>
      <c r="L10" s="2">
        <f t="shared" si="8"/>
        <v>27</v>
      </c>
      <c r="M10" s="2">
        <f t="shared" si="9"/>
        <v>63</v>
      </c>
      <c r="O10" s="8" t="s">
        <v>107</v>
      </c>
    </row>
    <row r="11" spans="1:15" ht="12.75">
      <c r="A11" t="s">
        <v>250</v>
      </c>
      <c r="B11" t="s">
        <v>1084</v>
      </c>
      <c r="C11" s="2"/>
      <c r="D11" s="2">
        <v>24</v>
      </c>
      <c r="E11" s="2">
        <f t="shared" si="1"/>
        <v>0</v>
      </c>
      <c r="F11" s="4">
        <f>IF(B11&lt;&gt;"n/a",((B11*D11)/0.9),E11*12.6)</f>
        <v>0</v>
      </c>
      <c r="G11" s="2">
        <f t="shared" si="3"/>
        <v>0</v>
      </c>
      <c r="H11" s="2">
        <f t="shared" si="4"/>
        <v>0</v>
      </c>
      <c r="I11" s="2">
        <f t="shared" si="5"/>
        <v>0</v>
      </c>
      <c r="J11" s="2">
        <f t="shared" si="6"/>
        <v>0</v>
      </c>
      <c r="K11" s="2">
        <f t="shared" si="7"/>
        <v>0</v>
      </c>
      <c r="L11" s="2">
        <f t="shared" si="8"/>
        <v>0</v>
      </c>
      <c r="M11" s="2">
        <f t="shared" si="9"/>
        <v>0</v>
      </c>
      <c r="O11" s="8" t="s">
        <v>108</v>
      </c>
    </row>
    <row r="12" spans="1:18" ht="12.75">
      <c r="A12" s="27" t="s">
        <v>524</v>
      </c>
      <c r="C12" s="2">
        <f aca="true" t="shared" si="10" ref="C12:C25">B12/($O$18/100)/12</f>
        <v>0</v>
      </c>
      <c r="D12" s="2">
        <v>8</v>
      </c>
      <c r="E12" s="2">
        <f t="shared" si="1"/>
        <v>0</v>
      </c>
      <c r="F12" s="4">
        <f aca="true" t="shared" si="11" ref="F12:F25">(B12*D12)/($O$18/100)</f>
        <v>0</v>
      </c>
      <c r="G12" s="2">
        <f t="shared" si="3"/>
        <v>0</v>
      </c>
      <c r="H12" s="2">
        <f t="shared" si="4"/>
        <v>0</v>
      </c>
      <c r="I12" s="2">
        <f t="shared" si="5"/>
        <v>0</v>
      </c>
      <c r="J12" s="2">
        <f t="shared" si="6"/>
        <v>0</v>
      </c>
      <c r="K12" s="2">
        <f t="shared" si="7"/>
        <v>0</v>
      </c>
      <c r="L12" s="2">
        <f t="shared" si="8"/>
        <v>0</v>
      </c>
      <c r="M12" s="2">
        <f t="shared" si="9"/>
        <v>0</v>
      </c>
      <c r="O12" s="8" t="s">
        <v>110</v>
      </c>
      <c r="R12" s="8" t="s">
        <v>249</v>
      </c>
    </row>
    <row r="13" spans="1:15" ht="12.75">
      <c r="A13" t="s">
        <v>1119</v>
      </c>
      <c r="B13">
        <v>100</v>
      </c>
      <c r="C13" s="2">
        <f t="shared" si="10"/>
        <v>9.25925925925926</v>
      </c>
      <c r="D13" s="2">
        <v>4</v>
      </c>
      <c r="E13" s="2">
        <f t="shared" si="1"/>
        <v>37.03703703703704</v>
      </c>
      <c r="F13" s="4">
        <f t="shared" si="11"/>
        <v>444.44444444444446</v>
      </c>
      <c r="G13" s="2">
        <f t="shared" si="3"/>
        <v>24.691358024691358</v>
      </c>
      <c r="H13" s="2">
        <f t="shared" si="4"/>
        <v>37.03703703703704</v>
      </c>
      <c r="I13" s="2">
        <f t="shared" si="5"/>
        <v>49.62962962962963</v>
      </c>
      <c r="J13" s="2">
        <f t="shared" si="6"/>
        <v>74.07407407407408</v>
      </c>
      <c r="K13" s="2">
        <f t="shared" si="7"/>
        <v>148.14814814814815</v>
      </c>
      <c r="L13" s="2">
        <f t="shared" si="8"/>
        <v>222.22222222222223</v>
      </c>
      <c r="M13" s="2">
        <f t="shared" si="9"/>
        <v>518.5185185185185</v>
      </c>
      <c r="O13" s="8" t="s">
        <v>122</v>
      </c>
    </row>
    <row r="14" spans="1:15" ht="12.75">
      <c r="A14" s="27" t="s">
        <v>168</v>
      </c>
      <c r="C14" s="2">
        <f t="shared" si="10"/>
        <v>0</v>
      </c>
      <c r="D14" s="2">
        <v>6</v>
      </c>
      <c r="E14" s="2">
        <f t="shared" si="1"/>
        <v>0</v>
      </c>
      <c r="F14" s="4">
        <f t="shared" si="11"/>
        <v>0</v>
      </c>
      <c r="G14" s="2">
        <f t="shared" si="3"/>
        <v>0</v>
      </c>
      <c r="H14" s="2">
        <f t="shared" si="4"/>
        <v>0</v>
      </c>
      <c r="I14" s="2">
        <f t="shared" si="5"/>
        <v>0</v>
      </c>
      <c r="J14" s="2">
        <f t="shared" si="6"/>
        <v>0</v>
      </c>
      <c r="K14" s="2">
        <f t="shared" si="7"/>
        <v>0</v>
      </c>
      <c r="L14" s="2">
        <f t="shared" si="8"/>
        <v>0</v>
      </c>
      <c r="M14" s="2">
        <f t="shared" si="9"/>
        <v>0</v>
      </c>
      <c r="O14" s="8" t="s">
        <v>294</v>
      </c>
    </row>
    <row r="15" spans="1:15" ht="12.75">
      <c r="A15" s="27" t="s">
        <v>169</v>
      </c>
      <c r="C15" s="2">
        <f t="shared" si="10"/>
        <v>0</v>
      </c>
      <c r="D15" s="2">
        <v>24</v>
      </c>
      <c r="E15" s="2">
        <f t="shared" si="1"/>
        <v>0</v>
      </c>
      <c r="F15" s="4">
        <f t="shared" si="11"/>
        <v>0</v>
      </c>
      <c r="G15" s="2">
        <f t="shared" si="3"/>
        <v>0</v>
      </c>
      <c r="H15" s="2">
        <f t="shared" si="4"/>
        <v>0</v>
      </c>
      <c r="I15" s="2">
        <f t="shared" si="5"/>
        <v>0</v>
      </c>
      <c r="J15" s="2">
        <f t="shared" si="6"/>
        <v>0</v>
      </c>
      <c r="K15" s="2">
        <f t="shared" si="7"/>
        <v>0</v>
      </c>
      <c r="L15" s="2">
        <f t="shared" si="8"/>
        <v>0</v>
      </c>
      <c r="M15" s="2">
        <f t="shared" si="9"/>
        <v>0</v>
      </c>
      <c r="O15" s="8" t="s">
        <v>298</v>
      </c>
    </row>
    <row r="16" spans="1:24" ht="12.75">
      <c r="A16" t="s">
        <v>58</v>
      </c>
      <c r="C16" s="2">
        <f t="shared" si="10"/>
        <v>0</v>
      </c>
      <c r="D16" s="2">
        <v>24</v>
      </c>
      <c r="E16" s="2">
        <f t="shared" si="1"/>
        <v>0</v>
      </c>
      <c r="F16" s="4">
        <f t="shared" si="11"/>
        <v>0</v>
      </c>
      <c r="G16" s="2">
        <f t="shared" si="3"/>
        <v>0</v>
      </c>
      <c r="H16" s="2">
        <f t="shared" si="4"/>
        <v>0</v>
      </c>
      <c r="I16" s="2">
        <f t="shared" si="5"/>
        <v>0</v>
      </c>
      <c r="J16" s="2">
        <f t="shared" si="6"/>
        <v>0</v>
      </c>
      <c r="K16" s="2">
        <f t="shared" si="7"/>
        <v>0</v>
      </c>
      <c r="L16" s="2">
        <f t="shared" si="8"/>
        <v>0</v>
      </c>
      <c r="M16" s="2">
        <f t="shared" si="9"/>
        <v>0</v>
      </c>
      <c r="O16" s="50">
        <v>50</v>
      </c>
      <c r="P16" s="8" t="s">
        <v>33</v>
      </c>
      <c r="V16" t="s">
        <v>286</v>
      </c>
      <c r="W16">
        <f>O16/100</f>
        <v>0.5</v>
      </c>
      <c r="X16">
        <f>1/W16</f>
        <v>2</v>
      </c>
    </row>
    <row r="17" spans="1:22" ht="12.75">
      <c r="A17" t="s">
        <v>1102</v>
      </c>
      <c r="C17" s="2">
        <f t="shared" si="10"/>
        <v>0</v>
      </c>
      <c r="D17" s="2">
        <v>0.5</v>
      </c>
      <c r="E17" s="2">
        <f t="shared" si="1"/>
        <v>0</v>
      </c>
      <c r="F17" s="4">
        <f t="shared" si="11"/>
        <v>0</v>
      </c>
      <c r="G17" s="2">
        <f t="shared" si="3"/>
        <v>0</v>
      </c>
      <c r="H17" s="2">
        <f t="shared" si="4"/>
        <v>0</v>
      </c>
      <c r="I17" s="2">
        <f t="shared" si="5"/>
        <v>0</v>
      </c>
      <c r="J17" s="2">
        <f t="shared" si="6"/>
        <v>0</v>
      </c>
      <c r="K17" s="2">
        <f t="shared" si="7"/>
        <v>0</v>
      </c>
      <c r="L17" s="2">
        <f t="shared" si="8"/>
        <v>0</v>
      </c>
      <c r="M17" s="2">
        <f t="shared" si="9"/>
        <v>0</v>
      </c>
      <c r="O17" s="13">
        <v>160</v>
      </c>
      <c r="P17" s="12" t="s">
        <v>34</v>
      </c>
      <c r="T17" s="8"/>
      <c r="U17" s="6" t="s">
        <v>45</v>
      </c>
      <c r="V17" s="71">
        <f>O17*12</f>
        <v>1920</v>
      </c>
    </row>
    <row r="18" spans="1:20" ht="12.75">
      <c r="A18" t="s">
        <v>60</v>
      </c>
      <c r="C18" s="2">
        <f t="shared" si="10"/>
        <v>0</v>
      </c>
      <c r="D18" s="2">
        <v>24</v>
      </c>
      <c r="E18" s="2">
        <f t="shared" si="1"/>
        <v>0</v>
      </c>
      <c r="F18" s="4">
        <f t="shared" si="11"/>
        <v>0</v>
      </c>
      <c r="G18" s="2">
        <f t="shared" si="3"/>
        <v>0</v>
      </c>
      <c r="H18" s="2">
        <f t="shared" si="4"/>
        <v>0</v>
      </c>
      <c r="I18" s="2">
        <f t="shared" si="5"/>
        <v>0</v>
      </c>
      <c r="J18" s="2">
        <f t="shared" si="6"/>
        <v>0</v>
      </c>
      <c r="K18" s="2">
        <f t="shared" si="7"/>
        <v>0</v>
      </c>
      <c r="L18" s="2">
        <f t="shared" si="8"/>
        <v>0</v>
      </c>
      <c r="M18" s="2">
        <f t="shared" si="9"/>
        <v>0</v>
      </c>
      <c r="O18" s="13">
        <v>90</v>
      </c>
      <c r="P18" s="12" t="s">
        <v>35</v>
      </c>
      <c r="T18" t="s">
        <v>111</v>
      </c>
    </row>
    <row r="19" spans="1:16" ht="12.75">
      <c r="A19" t="s">
        <v>1103</v>
      </c>
      <c r="C19" s="2">
        <f t="shared" si="10"/>
        <v>0</v>
      </c>
      <c r="D19" s="2">
        <v>0.1</v>
      </c>
      <c r="E19" s="2">
        <f t="shared" si="1"/>
        <v>0</v>
      </c>
      <c r="F19" s="4">
        <f t="shared" si="11"/>
        <v>0</v>
      </c>
      <c r="G19" s="2">
        <f t="shared" si="3"/>
        <v>0</v>
      </c>
      <c r="H19" s="2">
        <f t="shared" si="4"/>
        <v>0</v>
      </c>
      <c r="I19" s="2">
        <f t="shared" si="5"/>
        <v>0</v>
      </c>
      <c r="J19" s="2">
        <f t="shared" si="6"/>
        <v>0</v>
      </c>
      <c r="K19" s="2">
        <f t="shared" si="7"/>
        <v>0</v>
      </c>
      <c r="L19" s="2">
        <f t="shared" si="8"/>
        <v>0</v>
      </c>
      <c r="M19" s="2">
        <f t="shared" si="9"/>
        <v>0</v>
      </c>
      <c r="O19" s="13">
        <v>2000</v>
      </c>
      <c r="P19" s="8" t="s">
        <v>36</v>
      </c>
    </row>
    <row r="20" spans="1:16" ht="12.75">
      <c r="A20" t="s">
        <v>693</v>
      </c>
      <c r="C20" s="2">
        <f t="shared" si="10"/>
        <v>0</v>
      </c>
      <c r="D20" s="2">
        <v>24</v>
      </c>
      <c r="E20" s="2">
        <f t="shared" si="1"/>
        <v>0</v>
      </c>
      <c r="F20" s="4">
        <f t="shared" si="11"/>
        <v>0</v>
      </c>
      <c r="G20" s="2">
        <f t="shared" si="3"/>
        <v>0</v>
      </c>
      <c r="H20" s="2">
        <f t="shared" si="4"/>
        <v>0</v>
      </c>
      <c r="I20" s="2">
        <f t="shared" si="5"/>
        <v>0</v>
      </c>
      <c r="J20" s="2">
        <f t="shared" si="6"/>
        <v>0</v>
      </c>
      <c r="K20" s="2">
        <f t="shared" si="7"/>
        <v>0</v>
      </c>
      <c r="L20" s="2">
        <f t="shared" si="8"/>
        <v>0</v>
      </c>
      <c r="M20" s="2">
        <f t="shared" si="9"/>
        <v>0</v>
      </c>
      <c r="O20" s="62">
        <v>0.3</v>
      </c>
      <c r="P20" s="8" t="s">
        <v>37</v>
      </c>
    </row>
    <row r="21" spans="1:16" ht="12.75">
      <c r="A21" t="s">
        <v>833</v>
      </c>
      <c r="C21" s="2">
        <f t="shared" si="10"/>
        <v>0</v>
      </c>
      <c r="D21" s="2">
        <f>NOCTRatings!D22</f>
        <v>2.52</v>
      </c>
      <c r="E21" s="2">
        <f t="shared" si="1"/>
        <v>0</v>
      </c>
      <c r="F21" s="4">
        <f t="shared" si="11"/>
        <v>0</v>
      </c>
      <c r="G21" s="2">
        <f t="shared" si="3"/>
        <v>0</v>
      </c>
      <c r="H21" s="2">
        <f t="shared" si="4"/>
        <v>0</v>
      </c>
      <c r="I21" s="2">
        <f t="shared" si="5"/>
        <v>0</v>
      </c>
      <c r="J21" s="2">
        <f t="shared" si="6"/>
        <v>0</v>
      </c>
      <c r="K21" s="2">
        <f t="shared" si="7"/>
        <v>0</v>
      </c>
      <c r="L21" s="2">
        <f t="shared" si="8"/>
        <v>0</v>
      </c>
      <c r="M21" s="2">
        <f t="shared" si="9"/>
        <v>0</v>
      </c>
      <c r="O21" s="7">
        <f>O17/(100/O16)/J33</f>
        <v>0.6061252322076989</v>
      </c>
      <c r="P21" s="6" t="s">
        <v>247</v>
      </c>
    </row>
    <row r="22" spans="1:22" ht="12.75">
      <c r="A22" s="27" t="s">
        <v>1146</v>
      </c>
      <c r="C22" s="2">
        <f t="shared" si="10"/>
        <v>0</v>
      </c>
      <c r="D22" s="2">
        <v>2</v>
      </c>
      <c r="E22" s="2">
        <f t="shared" si="1"/>
        <v>0</v>
      </c>
      <c r="F22" s="4">
        <f t="shared" si="11"/>
        <v>0</v>
      </c>
      <c r="G22" s="2">
        <f t="shared" si="3"/>
        <v>0</v>
      </c>
      <c r="H22" s="2">
        <f t="shared" si="4"/>
        <v>0</v>
      </c>
      <c r="I22" s="2">
        <f t="shared" si="5"/>
        <v>0</v>
      </c>
      <c r="J22" s="2">
        <f t="shared" si="6"/>
        <v>0</v>
      </c>
      <c r="K22" s="2">
        <f t="shared" si="7"/>
        <v>0</v>
      </c>
      <c r="L22" s="2">
        <f t="shared" si="8"/>
        <v>0</v>
      </c>
      <c r="M22" s="2">
        <f t="shared" si="9"/>
        <v>0</v>
      </c>
      <c r="O22" s="5">
        <f>O21*24</f>
        <v>14.547005572984773</v>
      </c>
      <c r="P22" s="6" t="s">
        <v>248</v>
      </c>
      <c r="U22">
        <f>O22*60</f>
        <v>872.8203343790864</v>
      </c>
      <c r="V22" t="s">
        <v>684</v>
      </c>
    </row>
    <row r="23" spans="1:16" ht="12.75">
      <c r="A23" t="s">
        <v>162</v>
      </c>
      <c r="C23" s="2">
        <f t="shared" si="10"/>
        <v>0</v>
      </c>
      <c r="D23" s="2">
        <v>24</v>
      </c>
      <c r="E23" s="2">
        <f t="shared" si="1"/>
        <v>0</v>
      </c>
      <c r="F23" s="4">
        <f t="shared" si="11"/>
        <v>0</v>
      </c>
      <c r="G23" s="2">
        <f t="shared" si="3"/>
        <v>0</v>
      </c>
      <c r="H23" s="2">
        <f t="shared" si="4"/>
        <v>0</v>
      </c>
      <c r="I23" s="2">
        <f t="shared" si="5"/>
        <v>0</v>
      </c>
      <c r="J23" s="2">
        <f t="shared" si="6"/>
        <v>0</v>
      </c>
      <c r="K23" s="2">
        <f t="shared" si="7"/>
        <v>0</v>
      </c>
      <c r="L23" s="2">
        <f t="shared" si="8"/>
        <v>0</v>
      </c>
      <c r="M23" s="2">
        <f t="shared" si="9"/>
        <v>0</v>
      </c>
      <c r="O23" s="5">
        <f>J63</f>
        <v>2.335135612535612</v>
      </c>
      <c r="P23" s="6" t="s">
        <v>901</v>
      </c>
    </row>
    <row r="24" spans="1:16" ht="12.75">
      <c r="A24" t="s">
        <v>164</v>
      </c>
      <c r="C24" s="2">
        <f t="shared" si="10"/>
        <v>0</v>
      </c>
      <c r="D24" s="2">
        <v>0.1</v>
      </c>
      <c r="E24" s="2">
        <f t="shared" si="1"/>
        <v>0</v>
      </c>
      <c r="F24" s="4">
        <f t="shared" si="11"/>
        <v>0</v>
      </c>
      <c r="G24" s="2">
        <f t="shared" si="3"/>
        <v>0</v>
      </c>
      <c r="H24" s="2">
        <f t="shared" si="4"/>
        <v>0</v>
      </c>
      <c r="I24" s="2">
        <f t="shared" si="5"/>
        <v>0</v>
      </c>
      <c r="J24" s="2">
        <f t="shared" si="6"/>
        <v>0</v>
      </c>
      <c r="K24" s="2">
        <f t="shared" si="7"/>
        <v>0</v>
      </c>
      <c r="L24" s="2">
        <f t="shared" si="8"/>
        <v>0</v>
      </c>
      <c r="M24" s="2">
        <f t="shared" si="9"/>
        <v>0</v>
      </c>
      <c r="P24" s="6" t="s">
        <v>902</v>
      </c>
    </row>
    <row r="25" spans="1:21" ht="12.75">
      <c r="A25" t="s">
        <v>1037</v>
      </c>
      <c r="C25" s="2">
        <f t="shared" si="10"/>
        <v>0</v>
      </c>
      <c r="D25" s="2">
        <v>24</v>
      </c>
      <c r="E25" s="2">
        <f t="shared" si="1"/>
        <v>0</v>
      </c>
      <c r="F25" s="4">
        <f t="shared" si="11"/>
        <v>0</v>
      </c>
      <c r="G25" s="2">
        <f t="shared" si="3"/>
        <v>0</v>
      </c>
      <c r="H25" s="2">
        <f t="shared" si="4"/>
        <v>0</v>
      </c>
      <c r="I25" s="2">
        <f t="shared" si="5"/>
        <v>0</v>
      </c>
      <c r="J25" s="2">
        <f t="shared" si="6"/>
        <v>0</v>
      </c>
      <c r="K25" s="2">
        <f t="shared" si="7"/>
        <v>0</v>
      </c>
      <c r="L25" s="2">
        <f t="shared" si="8"/>
        <v>0</v>
      </c>
      <c r="M25" s="2">
        <f t="shared" si="9"/>
        <v>0</v>
      </c>
      <c r="P25" s="6" t="s">
        <v>101</v>
      </c>
      <c r="T25" s="8" t="s">
        <v>1096</v>
      </c>
      <c r="U25" s="8"/>
    </row>
    <row r="26" spans="1:22" ht="12.75">
      <c r="A26" s="36" t="s">
        <v>832</v>
      </c>
      <c r="B26" t="s">
        <v>1084</v>
      </c>
      <c r="C26" s="2"/>
      <c r="D26" s="2">
        <v>8</v>
      </c>
      <c r="E26" s="2">
        <f t="shared" si="1"/>
        <v>0</v>
      </c>
      <c r="F26" s="4">
        <f>IF(B26&lt;&gt;"n/a",((B26*D26)/0.9),E26*12.6)</f>
        <v>0</v>
      </c>
      <c r="G26" s="2">
        <f t="shared" si="3"/>
        <v>0</v>
      </c>
      <c r="H26" s="2">
        <f t="shared" si="4"/>
        <v>0</v>
      </c>
      <c r="I26" s="2">
        <f t="shared" si="5"/>
        <v>0</v>
      </c>
      <c r="J26" s="2">
        <f t="shared" si="6"/>
        <v>0</v>
      </c>
      <c r="K26" s="2">
        <f t="shared" si="7"/>
        <v>0</v>
      </c>
      <c r="L26" s="2">
        <f t="shared" si="8"/>
        <v>0</v>
      </c>
      <c r="M26" s="2">
        <f t="shared" si="9"/>
        <v>0</v>
      </c>
      <c r="O26" s="50">
        <v>3</v>
      </c>
      <c r="P26" s="6" t="s">
        <v>99</v>
      </c>
      <c r="R26" s="8" t="s">
        <v>283</v>
      </c>
      <c r="S26" s="8"/>
      <c r="T26" s="70">
        <f>$F$31/$O$26/0.67</f>
        <v>789.7846323935876</v>
      </c>
      <c r="U26" s="8" t="s">
        <v>284</v>
      </c>
      <c r="V26" s="8" t="s">
        <v>926</v>
      </c>
    </row>
    <row r="27" spans="1:21" ht="12.75">
      <c r="A27" s="2" t="s">
        <v>1046</v>
      </c>
      <c r="C27" s="2">
        <f>B27/($O$18/100)/12</f>
        <v>0</v>
      </c>
      <c r="D27" s="2">
        <v>2</v>
      </c>
      <c r="E27" s="2">
        <f t="shared" si="1"/>
        <v>0</v>
      </c>
      <c r="F27" s="4">
        <f>IF(B27&lt;&gt;"n/a",((B27*D27)/0.9),E27*12.6)</f>
        <v>0</v>
      </c>
      <c r="G27" s="2">
        <f t="shared" si="3"/>
        <v>0</v>
      </c>
      <c r="H27" s="2">
        <f t="shared" si="4"/>
        <v>0</v>
      </c>
      <c r="I27" s="2">
        <f t="shared" si="5"/>
        <v>0</v>
      </c>
      <c r="J27" s="2">
        <f t="shared" si="6"/>
        <v>0</v>
      </c>
      <c r="K27" s="2">
        <f t="shared" si="7"/>
        <v>0</v>
      </c>
      <c r="L27" s="2">
        <f t="shared" si="8"/>
        <v>0</v>
      </c>
      <c r="M27" s="2">
        <f t="shared" si="9"/>
        <v>0</v>
      </c>
      <c r="O27" s="50">
        <v>5.23</v>
      </c>
      <c r="P27" s="6" t="s">
        <v>100</v>
      </c>
      <c r="R27" s="8" t="s">
        <v>283</v>
      </c>
      <c r="S27" s="8"/>
      <c r="T27" s="70">
        <f>$F$31/$O$27/0.67</f>
        <v>453.0313378930712</v>
      </c>
      <c r="U27" s="8" t="s">
        <v>284</v>
      </c>
    </row>
    <row r="28" spans="1:15" ht="12.75">
      <c r="A28" t="s">
        <v>1012</v>
      </c>
      <c r="C28" s="2">
        <f>B28/($O$18/100)/12</f>
        <v>0</v>
      </c>
      <c r="D28" s="2">
        <v>8</v>
      </c>
      <c r="E28" s="2">
        <f t="shared" si="1"/>
        <v>0</v>
      </c>
      <c r="F28" s="4">
        <f>(B28*D28)/($O$18/100)</f>
        <v>0</v>
      </c>
      <c r="G28" s="2">
        <f t="shared" si="3"/>
        <v>0</v>
      </c>
      <c r="H28" s="2">
        <f t="shared" si="4"/>
        <v>0</v>
      </c>
      <c r="I28" s="2">
        <f t="shared" si="5"/>
        <v>0</v>
      </c>
      <c r="J28" s="2">
        <f t="shared" si="6"/>
        <v>0</v>
      </c>
      <c r="K28" s="2">
        <f t="shared" si="7"/>
        <v>0</v>
      </c>
      <c r="L28" s="2">
        <f t="shared" si="8"/>
        <v>0</v>
      </c>
      <c r="M28" s="2">
        <f t="shared" si="9"/>
        <v>0</v>
      </c>
      <c r="O28" t="s">
        <v>68</v>
      </c>
    </row>
    <row r="29" spans="1:15" ht="12.75">
      <c r="A29" t="s">
        <v>1137</v>
      </c>
      <c r="B29" t="s">
        <v>1084</v>
      </c>
      <c r="C29" s="2">
        <v>0.065</v>
      </c>
      <c r="D29" s="2">
        <v>24</v>
      </c>
      <c r="E29" s="2">
        <f t="shared" si="1"/>
        <v>1.56</v>
      </c>
      <c r="F29" s="4">
        <f>IF(B29&lt;&gt;"n/a",((B29*D29)/0.9),E29*12.6)</f>
        <v>19.656</v>
      </c>
      <c r="G29" s="2">
        <f t="shared" si="3"/>
        <v>1.04</v>
      </c>
      <c r="H29" s="2">
        <f t="shared" si="4"/>
        <v>1.56</v>
      </c>
      <c r="I29" s="2">
        <f t="shared" si="5"/>
        <v>2.0904000000000003</v>
      </c>
      <c r="J29" s="2">
        <f t="shared" si="6"/>
        <v>3.12</v>
      </c>
      <c r="K29" s="2">
        <f t="shared" si="7"/>
        <v>6.24</v>
      </c>
      <c r="L29" s="2">
        <f t="shared" si="8"/>
        <v>9.36</v>
      </c>
      <c r="M29" s="2">
        <f t="shared" si="9"/>
        <v>21.84</v>
      </c>
      <c r="O29" t="s">
        <v>969</v>
      </c>
    </row>
    <row r="30" spans="1:15" ht="12.75">
      <c r="A30" t="s">
        <v>335</v>
      </c>
      <c r="C30" s="2">
        <f>B30/($O$18/100)/12</f>
        <v>0</v>
      </c>
      <c r="D30" s="2">
        <v>0.2</v>
      </c>
      <c r="E30" s="2">
        <f t="shared" si="1"/>
        <v>0</v>
      </c>
      <c r="F30" s="4">
        <f>(B30*D30)/($O$18/100)</f>
        <v>0</v>
      </c>
      <c r="G30" s="2">
        <f t="shared" si="3"/>
        <v>0</v>
      </c>
      <c r="H30" s="2">
        <f t="shared" si="4"/>
        <v>0</v>
      </c>
      <c r="I30" s="2">
        <f t="shared" si="5"/>
        <v>0</v>
      </c>
      <c r="J30" s="2">
        <f t="shared" si="6"/>
        <v>0</v>
      </c>
      <c r="K30" s="2">
        <f t="shared" si="7"/>
        <v>0</v>
      </c>
      <c r="L30" s="2">
        <f t="shared" si="8"/>
        <v>0</v>
      </c>
      <c r="M30" s="2">
        <f t="shared" si="9"/>
        <v>0</v>
      </c>
      <c r="O30" t="s">
        <v>70</v>
      </c>
    </row>
    <row r="31" spans="1:15" ht="12.75">
      <c r="A31" s="8" t="s">
        <v>611</v>
      </c>
      <c r="B31" s="10">
        <f>SUM(B4:B30)</f>
        <v>150</v>
      </c>
      <c r="C31" s="2">
        <f>SUM(C4:C30)</f>
        <v>14.141388888888889</v>
      </c>
      <c r="D31" s="2"/>
      <c r="E31" s="2">
        <f>SUM(E4:E30)</f>
        <v>131.98592592592593</v>
      </c>
      <c r="F31" s="4">
        <f>SUM(F4:F30)</f>
        <v>1587.467111111111</v>
      </c>
      <c r="G31" s="45">
        <f>G3</f>
        <v>8</v>
      </c>
      <c r="H31" s="2" t="s">
        <v>355</v>
      </c>
      <c r="I31" s="2" t="s">
        <v>356</v>
      </c>
      <c r="J31" s="42" t="s">
        <v>357</v>
      </c>
      <c r="K31" s="2" t="s">
        <v>358</v>
      </c>
      <c r="L31" s="2" t="s">
        <v>359</v>
      </c>
      <c r="M31" s="10">
        <f>M3</f>
        <v>7</v>
      </c>
      <c r="N31" s="2" t="s">
        <v>1026</v>
      </c>
      <c r="O31" t="s">
        <v>95</v>
      </c>
    </row>
    <row r="32" spans="1:16" ht="12.75">
      <c r="A32" t="s">
        <v>614</v>
      </c>
      <c r="C32" t="s">
        <v>458</v>
      </c>
      <c r="D32" t="s">
        <v>278</v>
      </c>
      <c r="G32" s="2">
        <f aca="true" t="shared" si="12" ref="G32:M32">SUM(G4:G30)</f>
        <v>87.99061728395061</v>
      </c>
      <c r="H32" s="2">
        <f t="shared" si="12"/>
        <v>131.98592592592593</v>
      </c>
      <c r="I32" s="2">
        <f t="shared" si="12"/>
        <v>176.86114074074072</v>
      </c>
      <c r="J32" s="2">
        <f t="shared" si="12"/>
        <v>263.97185185185185</v>
      </c>
      <c r="K32" s="2">
        <f t="shared" si="12"/>
        <v>527.9437037037037</v>
      </c>
      <c r="L32" s="2">
        <f t="shared" si="12"/>
        <v>791.9155555555554</v>
      </c>
      <c r="M32" s="2">
        <f t="shared" si="12"/>
        <v>1847.8029629629627</v>
      </c>
      <c r="N32" t="s">
        <v>253</v>
      </c>
      <c r="P32" t="s">
        <v>98</v>
      </c>
    </row>
    <row r="33" spans="1:16" ht="12.75">
      <c r="A33" t="s">
        <v>10</v>
      </c>
      <c r="C33" t="s">
        <v>712</v>
      </c>
      <c r="D33" t="s">
        <v>1074</v>
      </c>
      <c r="E33">
        <f>O17/X16</f>
        <v>80</v>
      </c>
      <c r="F33" t="s">
        <v>1122</v>
      </c>
      <c r="G33" s="2">
        <f aca="true" t="shared" si="13" ref="G33:M33">G32/(100/$O$16)</f>
        <v>43.995308641975306</v>
      </c>
      <c r="H33" s="2">
        <f t="shared" si="13"/>
        <v>65.99296296296296</v>
      </c>
      <c r="I33" s="2">
        <f t="shared" si="13"/>
        <v>88.43057037037036</v>
      </c>
      <c r="J33" s="2">
        <f t="shared" si="13"/>
        <v>131.98592592592593</v>
      </c>
      <c r="K33" s="2">
        <f t="shared" si="13"/>
        <v>263.97185185185185</v>
      </c>
      <c r="L33" s="2">
        <f t="shared" si="13"/>
        <v>395.9577777777777</v>
      </c>
      <c r="M33" s="2">
        <f t="shared" si="13"/>
        <v>923.9014814814814</v>
      </c>
      <c r="P33" t="s">
        <v>895</v>
      </c>
    </row>
    <row r="34" spans="1:16" ht="12.75">
      <c r="A34" t="s">
        <v>11</v>
      </c>
      <c r="C34" t="s">
        <v>713</v>
      </c>
      <c r="D34" t="s">
        <v>810</v>
      </c>
      <c r="G34" s="2">
        <f aca="true" t="shared" si="14" ref="G34:M34">G33/$O$17*100</f>
        <v>27.49706790123457</v>
      </c>
      <c r="H34" s="2">
        <f t="shared" si="14"/>
        <v>41.24560185185185</v>
      </c>
      <c r="I34" s="2">
        <f t="shared" si="14"/>
        <v>55.26910648148148</v>
      </c>
      <c r="J34" s="2">
        <f t="shared" si="14"/>
        <v>82.4912037037037</v>
      </c>
      <c r="K34" s="2">
        <f t="shared" si="14"/>
        <v>164.9824074074074</v>
      </c>
      <c r="L34" s="2">
        <f t="shared" si="14"/>
        <v>247.47361111111107</v>
      </c>
      <c r="M34" s="2">
        <f t="shared" si="14"/>
        <v>577.4384259259259</v>
      </c>
      <c r="N34" s="47" t="s">
        <v>1034</v>
      </c>
      <c r="P34" t="s">
        <v>896</v>
      </c>
    </row>
    <row r="35" spans="1:16" ht="12.75">
      <c r="A35" t="s">
        <v>12</v>
      </c>
      <c r="C35" t="s">
        <v>714</v>
      </c>
      <c r="D35" t="s">
        <v>811</v>
      </c>
      <c r="E35" s="22"/>
      <c r="F35" s="4"/>
      <c r="G35" s="2">
        <f aca="true" t="shared" si="15" ref="G35:M35">G33*1.15</f>
        <v>50.5946049382716</v>
      </c>
      <c r="H35" s="2">
        <f t="shared" si="15"/>
        <v>75.8919074074074</v>
      </c>
      <c r="I35" s="2">
        <f t="shared" si="15"/>
        <v>101.6951559259259</v>
      </c>
      <c r="J35" s="2">
        <f t="shared" si="15"/>
        <v>151.7838148148148</v>
      </c>
      <c r="K35" s="2">
        <f t="shared" si="15"/>
        <v>303.5676296296296</v>
      </c>
      <c r="L35" s="2">
        <f t="shared" si="15"/>
        <v>455.3514444444443</v>
      </c>
      <c r="M35" s="2">
        <f t="shared" si="15"/>
        <v>1062.4867037037036</v>
      </c>
      <c r="N35" t="s">
        <v>812</v>
      </c>
      <c r="P35" t="s">
        <v>897</v>
      </c>
    </row>
    <row r="36" spans="6:16" ht="12.75">
      <c r="F36" s="4"/>
      <c r="G36" s="2"/>
      <c r="H36" s="2"/>
      <c r="I36" s="2"/>
      <c r="J36" s="2"/>
      <c r="K36" s="2"/>
      <c r="L36" s="2"/>
      <c r="M36" s="2"/>
      <c r="P36" t="s">
        <v>718</v>
      </c>
    </row>
    <row r="37" spans="3:19" ht="12.75">
      <c r="C37" t="s">
        <v>414</v>
      </c>
      <c r="E37" s="53" t="s">
        <v>656</v>
      </c>
      <c r="F37" s="54" t="s">
        <v>651</v>
      </c>
      <c r="G37" s="2" t="s">
        <v>116</v>
      </c>
      <c r="H37" s="2"/>
      <c r="I37" s="25"/>
      <c r="J37" s="52"/>
      <c r="K37" s="2"/>
      <c r="L37" s="2"/>
      <c r="M37" s="2"/>
      <c r="O37" s="8" t="s">
        <v>564</v>
      </c>
      <c r="P37" s="8" t="s">
        <v>651</v>
      </c>
      <c r="Q37" s="56" t="s">
        <v>809</v>
      </c>
      <c r="R37" s="56" t="s">
        <v>887</v>
      </c>
      <c r="S37" t="s">
        <v>618</v>
      </c>
    </row>
    <row r="38" spans="3:19" ht="12.75">
      <c r="C38" t="s">
        <v>373</v>
      </c>
      <c r="E38">
        <v>400</v>
      </c>
      <c r="G38" s="2">
        <f>G35/O38</f>
        <v>1.8270274005486966</v>
      </c>
      <c r="H38" s="2">
        <f>H35/O38</f>
        <v>2.740541100823045</v>
      </c>
      <c r="I38" s="2">
        <f>I35/O38</f>
        <v>3.6723250751028798</v>
      </c>
      <c r="J38" s="2">
        <f>J35/O38</f>
        <v>5.48108220164609</v>
      </c>
      <c r="K38" s="2">
        <f aca="true" t="shared" si="16" ref="K38:K61">J38*2</f>
        <v>10.96216440329218</v>
      </c>
      <c r="L38" s="2">
        <f aca="true" t="shared" si="17" ref="L38:L61">J38*3</f>
        <v>16.44324660493827</v>
      </c>
      <c r="M38" s="2">
        <f aca="true" t="shared" si="18" ref="M38:M61">J38*4</f>
        <v>21.92432880658436</v>
      </c>
      <c r="N38" t="s">
        <v>1142</v>
      </c>
      <c r="O38" s="2">
        <f>E38/13*0.9</f>
        <v>27.692307692307693</v>
      </c>
      <c r="Q38" s="10">
        <f>O38*O26</f>
        <v>83.07692307692308</v>
      </c>
      <c r="R38" s="4">
        <f aca="true" t="shared" si="19" ref="R38:R61">Q38*12</f>
        <v>996.9230769230769</v>
      </c>
      <c r="S38" t="s">
        <v>1029</v>
      </c>
    </row>
    <row r="39" spans="1:21" ht="12.75">
      <c r="A39" t="s">
        <v>652</v>
      </c>
      <c r="F39" s="4">
        <f>E38*0.726</f>
        <v>290.4</v>
      </c>
      <c r="G39" s="2">
        <f>G$35/$P39</f>
        <v>2.516566667422447</v>
      </c>
      <c r="H39" s="2">
        <f>H$35/$P39</f>
        <v>3.7748500011336708</v>
      </c>
      <c r="I39" s="2">
        <f>I$35/$P39</f>
        <v>5.058299001519118</v>
      </c>
      <c r="J39" s="2">
        <f>J$35/$P39</f>
        <v>7.5497000022673415</v>
      </c>
      <c r="K39" s="2">
        <f t="shared" si="16"/>
        <v>15.099400004534683</v>
      </c>
      <c r="L39" s="2">
        <f t="shared" si="17"/>
        <v>22.649100006802023</v>
      </c>
      <c r="M39" s="2">
        <f t="shared" si="18"/>
        <v>30.198800009069366</v>
      </c>
      <c r="P39" s="2">
        <f>F39/13*0.9</f>
        <v>20.104615384615386</v>
      </c>
      <c r="Q39" s="10">
        <f>P39*O26</f>
        <v>60.31384615384616</v>
      </c>
      <c r="R39" s="4">
        <f t="shared" si="19"/>
        <v>723.7661538461539</v>
      </c>
      <c r="U39" t="s">
        <v>1032</v>
      </c>
    </row>
    <row r="40" spans="1:19" ht="12.75">
      <c r="A40" t="s">
        <v>987</v>
      </c>
      <c r="C40" t="s">
        <v>399</v>
      </c>
      <c r="E40">
        <v>400</v>
      </c>
      <c r="G40" s="2">
        <f>G$35/O40</f>
        <v>1.8270274005486966</v>
      </c>
      <c r="H40" s="2">
        <f>H35/O40</f>
        <v>2.740541100823045</v>
      </c>
      <c r="I40" s="2">
        <f>I35/O40</f>
        <v>3.6723250751028798</v>
      </c>
      <c r="J40" s="2">
        <f>J35/O40</f>
        <v>5.48108220164609</v>
      </c>
      <c r="K40" s="2">
        <f t="shared" si="16"/>
        <v>10.96216440329218</v>
      </c>
      <c r="L40" s="2">
        <f t="shared" si="17"/>
        <v>16.44324660493827</v>
      </c>
      <c r="M40" s="2">
        <f t="shared" si="18"/>
        <v>21.92432880658436</v>
      </c>
      <c r="N40" t="s">
        <v>1142</v>
      </c>
      <c r="O40" s="2">
        <f>E40/13*0.9</f>
        <v>27.692307692307693</v>
      </c>
      <c r="Q40" s="10">
        <f>O40*O27</f>
        <v>144.83076923076925</v>
      </c>
      <c r="R40" s="4">
        <f t="shared" si="19"/>
        <v>1737.969230769231</v>
      </c>
      <c r="S40" t="s">
        <v>1031</v>
      </c>
    </row>
    <row r="41" spans="1:21" ht="12.75">
      <c r="A41" t="s">
        <v>654</v>
      </c>
      <c r="F41" s="4">
        <f>E40*0.726</f>
        <v>290.4</v>
      </c>
      <c r="G41" s="2">
        <f>G$35/$P41</f>
        <v>2.516566667422447</v>
      </c>
      <c r="H41" s="2">
        <f>H$35/$P41</f>
        <v>3.7748500011336708</v>
      </c>
      <c r="I41" s="2">
        <f>I$35/$P41</f>
        <v>5.058299001519118</v>
      </c>
      <c r="J41" s="2">
        <f>J$35/$P41</f>
        <v>7.5497000022673415</v>
      </c>
      <c r="K41" s="2">
        <f t="shared" si="16"/>
        <v>15.099400004534683</v>
      </c>
      <c r="L41" s="2">
        <f t="shared" si="17"/>
        <v>22.649100006802023</v>
      </c>
      <c r="M41" s="2">
        <f t="shared" si="18"/>
        <v>30.198800009069366</v>
      </c>
      <c r="P41" s="2">
        <f>F41/13*0.9</f>
        <v>20.104615384615386</v>
      </c>
      <c r="Q41" s="10">
        <f>P41*O27</f>
        <v>105.14713846153847</v>
      </c>
      <c r="R41" s="4">
        <f t="shared" si="19"/>
        <v>1261.7656615384617</v>
      </c>
      <c r="U41" t="s">
        <v>1033</v>
      </c>
    </row>
    <row r="42" spans="1:18" ht="12.75">
      <c r="A42" t="s">
        <v>988</v>
      </c>
      <c r="C42" t="s">
        <v>373</v>
      </c>
      <c r="E42">
        <v>500</v>
      </c>
      <c r="G42" s="2">
        <f>G35/O42</f>
        <v>1.4616219204389576</v>
      </c>
      <c r="H42" s="2">
        <f>H35/O42</f>
        <v>2.192432880658436</v>
      </c>
      <c r="I42" s="2">
        <f>I35/O42</f>
        <v>2.937860060082304</v>
      </c>
      <c r="J42" s="2">
        <f>J35/O42</f>
        <v>4.384865761316872</v>
      </c>
      <c r="K42" s="2">
        <f t="shared" si="16"/>
        <v>8.769731522633744</v>
      </c>
      <c r="L42" s="2">
        <f t="shared" si="17"/>
        <v>13.154597283950617</v>
      </c>
      <c r="M42" s="2">
        <f t="shared" si="18"/>
        <v>17.53946304526749</v>
      </c>
      <c r="N42" t="s">
        <v>1142</v>
      </c>
      <c r="O42" s="2">
        <f>E42/13*0.9</f>
        <v>34.61538461538461</v>
      </c>
      <c r="Q42" s="10">
        <f>O42*O26</f>
        <v>103.84615384615384</v>
      </c>
      <c r="R42" s="4">
        <f t="shared" si="19"/>
        <v>1246.1538461538462</v>
      </c>
    </row>
    <row r="43" spans="6:18" ht="12.75">
      <c r="F43" s="4">
        <f>E42*0.726</f>
        <v>363</v>
      </c>
      <c r="G43" s="2">
        <f>G$35/$P43</f>
        <v>2.013253333937958</v>
      </c>
      <c r="H43" s="2">
        <f>H$35/$P43</f>
        <v>3.0198800009069364</v>
      </c>
      <c r="I43" s="2">
        <f>I$35/$P43</f>
        <v>4.046639201215294</v>
      </c>
      <c r="J43" s="2">
        <f>J$35/$P43</f>
        <v>6.039760001813873</v>
      </c>
      <c r="K43" s="2">
        <f t="shared" si="16"/>
        <v>12.079520003627746</v>
      </c>
      <c r="L43" s="2">
        <f t="shared" si="17"/>
        <v>18.119280005441617</v>
      </c>
      <c r="M43" s="2">
        <f t="shared" si="18"/>
        <v>24.15904000725549</v>
      </c>
      <c r="P43" s="2">
        <f>F43/13*0.9</f>
        <v>25.130769230769232</v>
      </c>
      <c r="Q43" s="10">
        <f>P43*O26</f>
        <v>75.3923076923077</v>
      </c>
      <c r="R43" s="4">
        <f t="shared" si="19"/>
        <v>904.7076923076924</v>
      </c>
    </row>
    <row r="44" spans="1:18" ht="12.75">
      <c r="A44" t="s">
        <v>551</v>
      </c>
      <c r="C44" t="s">
        <v>399</v>
      </c>
      <c r="E44">
        <v>500</v>
      </c>
      <c r="G44" s="2">
        <f>G35/O44</f>
        <v>1.4616219204389576</v>
      </c>
      <c r="H44" s="2">
        <f>H35/O44</f>
        <v>2.192432880658436</v>
      </c>
      <c r="I44" s="2">
        <f>I35/O44</f>
        <v>2.937860060082304</v>
      </c>
      <c r="J44" s="2">
        <f>J35/O44</f>
        <v>4.384865761316872</v>
      </c>
      <c r="K44" s="2">
        <f t="shared" si="16"/>
        <v>8.769731522633744</v>
      </c>
      <c r="L44" s="2">
        <f t="shared" si="17"/>
        <v>13.154597283950617</v>
      </c>
      <c r="M44" s="2">
        <f t="shared" si="18"/>
        <v>17.53946304526749</v>
      </c>
      <c r="N44" t="s">
        <v>1142</v>
      </c>
      <c r="O44" s="2">
        <f>E44/13*0.9</f>
        <v>34.61538461538461</v>
      </c>
      <c r="Q44" s="10">
        <f>O44*O27</f>
        <v>181.03846153846155</v>
      </c>
      <c r="R44" s="4">
        <f t="shared" si="19"/>
        <v>2172.4615384615386</v>
      </c>
    </row>
    <row r="45" spans="2:18" ht="12.75">
      <c r="B45" s="37"/>
      <c r="F45" s="4">
        <f>E44*0.726</f>
        <v>363</v>
      </c>
      <c r="G45" s="2">
        <f>G$35/$P45</f>
        <v>2.013253333937958</v>
      </c>
      <c r="H45" s="2">
        <f>H$35/$P45</f>
        <v>3.0198800009069364</v>
      </c>
      <c r="I45" s="2">
        <f>I$35/$P45</f>
        <v>4.046639201215294</v>
      </c>
      <c r="J45" s="2">
        <f>J$35/$P45</f>
        <v>6.039760001813873</v>
      </c>
      <c r="K45" s="2">
        <f t="shared" si="16"/>
        <v>12.079520003627746</v>
      </c>
      <c r="L45" s="2">
        <f t="shared" si="17"/>
        <v>18.119280005441617</v>
      </c>
      <c r="M45" s="2">
        <f t="shared" si="18"/>
        <v>24.15904000725549</v>
      </c>
      <c r="P45" s="2">
        <f>F45/13*0.9</f>
        <v>25.130769230769232</v>
      </c>
      <c r="Q45" s="10">
        <f>P45*O27</f>
        <v>131.4339230769231</v>
      </c>
      <c r="R45" s="4">
        <f t="shared" si="19"/>
        <v>1577.2070769230772</v>
      </c>
    </row>
    <row r="46" spans="1:20" ht="12.75">
      <c r="A46" t="s">
        <v>179</v>
      </c>
      <c r="B46" s="38"/>
      <c r="C46" t="s">
        <v>373</v>
      </c>
      <c r="E46">
        <v>610</v>
      </c>
      <c r="G46" s="2">
        <f>G35/O46</f>
        <v>1.198050754458162</v>
      </c>
      <c r="H46" s="2">
        <f>H35/O46</f>
        <v>1.7970761316872428</v>
      </c>
      <c r="I46" s="2">
        <f>I35/O46</f>
        <v>2.408082016460905</v>
      </c>
      <c r="J46" s="2">
        <f>J35/O46</f>
        <v>3.5941522633744856</v>
      </c>
      <c r="K46" s="2">
        <f t="shared" si="16"/>
        <v>7.188304526748971</v>
      </c>
      <c r="L46" s="2">
        <f t="shared" si="17"/>
        <v>10.782456790123456</v>
      </c>
      <c r="M46" s="2">
        <f t="shared" si="18"/>
        <v>14.376609053497942</v>
      </c>
      <c r="N46" t="s">
        <v>1142</v>
      </c>
      <c r="O46" s="2">
        <f>E46/13*0.9</f>
        <v>42.230769230769226</v>
      </c>
      <c r="Q46" s="10">
        <f>O46*O26</f>
        <v>126.69230769230768</v>
      </c>
      <c r="R46" s="4">
        <f t="shared" si="19"/>
        <v>1520.3076923076922</v>
      </c>
      <c r="S46" t="s">
        <v>954</v>
      </c>
      <c r="T46" t="s">
        <v>955</v>
      </c>
    </row>
    <row r="47" spans="1:20" ht="12.75">
      <c r="A47" t="s">
        <v>180</v>
      </c>
      <c r="B47" s="38"/>
      <c r="F47" s="4">
        <f>E46*0.726</f>
        <v>442.86</v>
      </c>
      <c r="G47" s="2">
        <f>G$35/$P47</f>
        <v>1.650207650768818</v>
      </c>
      <c r="H47" s="2">
        <f>H$35/$P47</f>
        <v>2.475311476153227</v>
      </c>
      <c r="I47" s="2">
        <f>I$35/$P47</f>
        <v>3.3169173780453236</v>
      </c>
      <c r="J47" s="2">
        <f>J$35/$P47</f>
        <v>4.950622952306454</v>
      </c>
      <c r="K47" s="2">
        <f t="shared" si="16"/>
        <v>9.901245904612908</v>
      </c>
      <c r="L47" s="2">
        <f t="shared" si="17"/>
        <v>14.851868856919364</v>
      </c>
      <c r="M47" s="2">
        <f t="shared" si="18"/>
        <v>19.802491809225817</v>
      </c>
      <c r="O47" s="2"/>
      <c r="P47" s="2">
        <f>F47/13*0.9</f>
        <v>30.65953846153846</v>
      </c>
      <c r="Q47" s="10">
        <f>P47*O26</f>
        <v>91.97861538461538</v>
      </c>
      <c r="R47" s="4">
        <f t="shared" si="19"/>
        <v>1103.7433846153845</v>
      </c>
      <c r="S47">
        <f>G35/8</f>
        <v>6.32432561728395</v>
      </c>
      <c r="T47">
        <f>G47/8</f>
        <v>0.20627595634610224</v>
      </c>
    </row>
    <row r="48" spans="1:18" ht="12.75">
      <c r="A48" t="s">
        <v>299</v>
      </c>
      <c r="B48" s="37"/>
      <c r="C48" t="s">
        <v>399</v>
      </c>
      <c r="E48">
        <v>610</v>
      </c>
      <c r="G48" s="2">
        <f>G35/O48</f>
        <v>1.198050754458162</v>
      </c>
      <c r="H48" s="2">
        <f>H35/O48</f>
        <v>1.7970761316872428</v>
      </c>
      <c r="I48" s="2">
        <f>I35/O48</f>
        <v>2.408082016460905</v>
      </c>
      <c r="J48" s="2">
        <f>J35/O48</f>
        <v>3.5941522633744856</v>
      </c>
      <c r="K48" s="2">
        <f t="shared" si="16"/>
        <v>7.188304526748971</v>
      </c>
      <c r="L48" s="2">
        <f t="shared" si="17"/>
        <v>10.782456790123456</v>
      </c>
      <c r="M48" s="2">
        <f t="shared" si="18"/>
        <v>14.376609053497942</v>
      </c>
      <c r="N48" t="s">
        <v>1142</v>
      </c>
      <c r="O48" s="2">
        <f>E48/13*0.9</f>
        <v>42.230769230769226</v>
      </c>
      <c r="Q48" s="10">
        <f>O48*O27</f>
        <v>220.86692307692306</v>
      </c>
      <c r="R48" s="4">
        <f t="shared" si="19"/>
        <v>2650.4030769230767</v>
      </c>
    </row>
    <row r="49" spans="1:20" ht="12.75">
      <c r="A49" t="s">
        <v>178</v>
      </c>
      <c r="F49" s="4">
        <f>E48*0.726</f>
        <v>442.86</v>
      </c>
      <c r="G49" s="2">
        <f>G$35/$P49</f>
        <v>1.650207650768818</v>
      </c>
      <c r="H49" s="2">
        <f>H$35/$P49</f>
        <v>2.475311476153227</v>
      </c>
      <c r="I49" s="2">
        <f>I$35/$P49</f>
        <v>3.3169173780453236</v>
      </c>
      <c r="J49" s="2">
        <f>J$35/$P49</f>
        <v>4.950622952306454</v>
      </c>
      <c r="K49" s="2">
        <f t="shared" si="16"/>
        <v>9.901245904612908</v>
      </c>
      <c r="L49" s="2">
        <f t="shared" si="17"/>
        <v>14.851868856919364</v>
      </c>
      <c r="M49" s="2">
        <f t="shared" si="18"/>
        <v>19.802491809225817</v>
      </c>
      <c r="O49" s="2"/>
      <c r="P49" s="2">
        <f>F49/13*0.9</f>
        <v>30.65953846153846</v>
      </c>
      <c r="Q49" s="10">
        <f>P49*O27</f>
        <v>160.34938615384615</v>
      </c>
      <c r="R49" s="4">
        <f t="shared" si="19"/>
        <v>1924.192633846154</v>
      </c>
      <c r="T49" t="s">
        <v>194</v>
      </c>
    </row>
    <row r="50" spans="1:20" ht="12.75">
      <c r="A50" t="s">
        <v>181</v>
      </c>
      <c r="B50" s="19"/>
      <c r="C50" t="s">
        <v>373</v>
      </c>
      <c r="E50">
        <v>1110</v>
      </c>
      <c r="G50" s="2">
        <f>G35/O50</f>
        <v>0.6583882524499808</v>
      </c>
      <c r="H50" s="2">
        <f>H35/O50</f>
        <v>0.9875823786749711</v>
      </c>
      <c r="I50" s="2">
        <f>I35/O50</f>
        <v>1.323360387424461</v>
      </c>
      <c r="J50" s="2">
        <f>J35/O50</f>
        <v>1.9751647573499422</v>
      </c>
      <c r="K50" s="2">
        <f t="shared" si="16"/>
        <v>3.9503295146998845</v>
      </c>
      <c r="L50" s="2">
        <f t="shared" si="17"/>
        <v>5.925494272049827</v>
      </c>
      <c r="M50" s="2">
        <f t="shared" si="18"/>
        <v>7.900659029399769</v>
      </c>
      <c r="N50" t="s">
        <v>1142</v>
      </c>
      <c r="O50" s="2">
        <f>E50/13*0.9</f>
        <v>76.84615384615385</v>
      </c>
      <c r="Q50" s="10">
        <f>O50*O26</f>
        <v>230.53846153846155</v>
      </c>
      <c r="R50" s="4">
        <f t="shared" si="19"/>
        <v>2766.4615384615386</v>
      </c>
      <c r="T50" t="s">
        <v>604</v>
      </c>
    </row>
    <row r="51" spans="1:20" ht="12.75">
      <c r="A51" t="s">
        <v>334</v>
      </c>
      <c r="B51" s="19"/>
      <c r="C51" s="3"/>
      <c r="F51" s="4">
        <f>E50*0.726</f>
        <v>805.86</v>
      </c>
      <c r="G51" s="2">
        <f>G$35/$P51</f>
        <v>0.9068708711432241</v>
      </c>
      <c r="H51" s="2">
        <f>H$35/$P51</f>
        <v>1.3603063067148362</v>
      </c>
      <c r="I51" s="2">
        <f>I$35/$P51</f>
        <v>1.8228104509978802</v>
      </c>
      <c r="J51" s="2">
        <f>J$35/$P51</f>
        <v>2.7206126134296724</v>
      </c>
      <c r="K51" s="2">
        <f t="shared" si="16"/>
        <v>5.441225226859345</v>
      </c>
      <c r="L51" s="2">
        <f t="shared" si="17"/>
        <v>8.161837840289017</v>
      </c>
      <c r="M51" s="2">
        <f t="shared" si="18"/>
        <v>10.88245045371869</v>
      </c>
      <c r="P51" s="2">
        <f>F51/13*0.9</f>
        <v>55.7903076923077</v>
      </c>
      <c r="Q51" s="10">
        <f>P51*O26</f>
        <v>167.3709230769231</v>
      </c>
      <c r="R51" s="4">
        <f t="shared" si="19"/>
        <v>2008.4510769230774</v>
      </c>
      <c r="T51" t="s">
        <v>196</v>
      </c>
    </row>
    <row r="52" spans="1:20" ht="12.75">
      <c r="A52" t="s">
        <v>371</v>
      </c>
      <c r="B52" s="19"/>
      <c r="C52" t="s">
        <v>399</v>
      </c>
      <c r="E52">
        <v>1110</v>
      </c>
      <c r="F52" s="10"/>
      <c r="G52" s="2">
        <f>G35/O52</f>
        <v>0.6583882524499808</v>
      </c>
      <c r="H52" s="2">
        <f>H35/O52</f>
        <v>0.9875823786749711</v>
      </c>
      <c r="I52" s="2">
        <f>I35/O52</f>
        <v>1.323360387424461</v>
      </c>
      <c r="J52" s="2">
        <f>J35/O52</f>
        <v>1.9751647573499422</v>
      </c>
      <c r="K52" s="2">
        <f t="shared" si="16"/>
        <v>3.9503295146998845</v>
      </c>
      <c r="L52" s="2">
        <f t="shared" si="17"/>
        <v>5.925494272049827</v>
      </c>
      <c r="M52" s="2">
        <f t="shared" si="18"/>
        <v>7.900659029399769</v>
      </c>
      <c r="N52" t="s">
        <v>1142</v>
      </c>
      <c r="O52" s="2">
        <f>E52/13*0.9</f>
        <v>76.84615384615385</v>
      </c>
      <c r="Q52" s="10">
        <f>O52*O27</f>
        <v>401.90538461538466</v>
      </c>
      <c r="R52" s="4">
        <f t="shared" si="19"/>
        <v>4822.864615384616</v>
      </c>
      <c r="T52" t="s">
        <v>602</v>
      </c>
    </row>
    <row r="53" spans="2:20" ht="12.75">
      <c r="B53" s="19"/>
      <c r="F53" s="4">
        <f>E52*0.726</f>
        <v>805.86</v>
      </c>
      <c r="G53" s="2">
        <f>G$35/$P53</f>
        <v>0.9068708711432241</v>
      </c>
      <c r="H53" s="2">
        <f>H$35/$P53</f>
        <v>1.3603063067148362</v>
      </c>
      <c r="I53" s="2">
        <f>I$35/$P53</f>
        <v>1.8228104509978802</v>
      </c>
      <c r="J53" s="2">
        <f>J$35/$P53</f>
        <v>2.7206126134296724</v>
      </c>
      <c r="K53" s="2">
        <f t="shared" si="16"/>
        <v>5.441225226859345</v>
      </c>
      <c r="L53" s="2">
        <f t="shared" si="17"/>
        <v>8.161837840289017</v>
      </c>
      <c r="M53" s="2">
        <f t="shared" si="18"/>
        <v>10.88245045371869</v>
      </c>
      <c r="P53" s="2">
        <f>F53/13*0.9</f>
        <v>55.7903076923077</v>
      </c>
      <c r="Q53" s="10">
        <f>P53*O27</f>
        <v>291.7833092307693</v>
      </c>
      <c r="R53" s="4">
        <f t="shared" si="19"/>
        <v>3501.3997107692317</v>
      </c>
      <c r="T53" t="s">
        <v>190</v>
      </c>
    </row>
    <row r="54" spans="1:20" ht="12.75">
      <c r="A54" s="24" t="s">
        <v>552</v>
      </c>
      <c r="C54" t="s">
        <v>373</v>
      </c>
      <c r="E54">
        <v>1510</v>
      </c>
      <c r="G54" s="2">
        <f>G35/O54</f>
        <v>0.4839807683572706</v>
      </c>
      <c r="H54" s="2">
        <f>H35/O54</f>
        <v>0.7259711525359059</v>
      </c>
      <c r="I54" s="2">
        <f>I35/O54</f>
        <v>0.9728013443981138</v>
      </c>
      <c r="J54" s="2">
        <f>J35/O54</f>
        <v>1.4519423050718119</v>
      </c>
      <c r="K54" s="2">
        <f t="shared" si="16"/>
        <v>2.9038846101436238</v>
      </c>
      <c r="L54" s="2">
        <f t="shared" si="17"/>
        <v>4.355826915215435</v>
      </c>
      <c r="M54" s="2">
        <f t="shared" si="18"/>
        <v>5.8077692202872475</v>
      </c>
      <c r="N54" t="s">
        <v>1142</v>
      </c>
      <c r="O54" s="2">
        <f>E54/13*0.9</f>
        <v>104.53846153846155</v>
      </c>
      <c r="Q54" s="10">
        <f>O54*O26</f>
        <v>313.61538461538464</v>
      </c>
      <c r="R54" s="4">
        <f t="shared" si="19"/>
        <v>3763.3846153846157</v>
      </c>
      <c r="T54" t="s">
        <v>191</v>
      </c>
    </row>
    <row r="55" spans="1:20" ht="12.75">
      <c r="A55" t="s">
        <v>553</v>
      </c>
      <c r="C55" s="3"/>
      <c r="F55" s="4">
        <f>E54*0.726</f>
        <v>1096.26</v>
      </c>
      <c r="G55" s="2">
        <f>G$35/$P55</f>
        <v>0.6666401768006482</v>
      </c>
      <c r="H55" s="2">
        <f>H$35/$P55</f>
        <v>0.9999602652009724</v>
      </c>
      <c r="I55" s="2">
        <f>I$35/$P55</f>
        <v>1.3399467553693027</v>
      </c>
      <c r="J55" s="2">
        <f>J$35/$P55</f>
        <v>1.9999205304019447</v>
      </c>
      <c r="K55" s="2">
        <f t="shared" si="16"/>
        <v>3.9998410608038895</v>
      </c>
      <c r="L55" s="2">
        <f t="shared" si="17"/>
        <v>5.999761591205834</v>
      </c>
      <c r="M55" s="2">
        <f t="shared" si="18"/>
        <v>7.999682121607779</v>
      </c>
      <c r="P55" s="2">
        <f>F55/13*0.9</f>
        <v>75.89492307692308</v>
      </c>
      <c r="Q55" s="10">
        <f>P55*O26</f>
        <v>227.68476923076923</v>
      </c>
      <c r="R55" s="4">
        <f t="shared" si="19"/>
        <v>2732.217230769231</v>
      </c>
      <c r="T55" t="s">
        <v>192</v>
      </c>
    </row>
    <row r="56" spans="1:20" ht="12.75">
      <c r="A56" t="s">
        <v>554</v>
      </c>
      <c r="C56" t="s">
        <v>399</v>
      </c>
      <c r="E56">
        <v>1510</v>
      </c>
      <c r="G56" s="2">
        <f>G35/O56</f>
        <v>0.4839807683572706</v>
      </c>
      <c r="H56" s="2">
        <f>H35/O56</f>
        <v>0.7259711525359059</v>
      </c>
      <c r="I56" s="2">
        <f>I35/O56</f>
        <v>0.9728013443981138</v>
      </c>
      <c r="J56" s="2">
        <f>J35/O56</f>
        <v>1.4519423050718119</v>
      </c>
      <c r="K56" s="2">
        <f t="shared" si="16"/>
        <v>2.9038846101436238</v>
      </c>
      <c r="L56" s="2">
        <f t="shared" si="17"/>
        <v>4.355826915215435</v>
      </c>
      <c r="M56" s="2">
        <f t="shared" si="18"/>
        <v>5.8077692202872475</v>
      </c>
      <c r="N56" t="s">
        <v>1142</v>
      </c>
      <c r="O56" s="2">
        <f>E56/13*0.9</f>
        <v>104.53846153846155</v>
      </c>
      <c r="Q56" s="10">
        <f>O56*O27</f>
        <v>546.7361538461539</v>
      </c>
      <c r="R56" s="4">
        <f t="shared" si="19"/>
        <v>6560.833846153847</v>
      </c>
      <c r="T56" t="s">
        <v>603</v>
      </c>
    </row>
    <row r="57" spans="1:20" ht="12.75">
      <c r="A57" t="s">
        <v>555</v>
      </c>
      <c r="F57" s="4">
        <f>E56*0.726</f>
        <v>1096.26</v>
      </c>
      <c r="G57" s="2">
        <f>G$35/$P57</f>
        <v>0.6666401768006482</v>
      </c>
      <c r="H57" s="2">
        <f>H$35/$P57</f>
        <v>0.9999602652009724</v>
      </c>
      <c r="I57" s="2">
        <f>I$35/$P57</f>
        <v>1.3399467553693027</v>
      </c>
      <c r="J57" s="2">
        <f>J$35/$P57</f>
        <v>1.9999205304019447</v>
      </c>
      <c r="K57" s="2">
        <f t="shared" si="16"/>
        <v>3.9998410608038895</v>
      </c>
      <c r="L57" s="2">
        <f t="shared" si="17"/>
        <v>5.999761591205834</v>
      </c>
      <c r="M57" s="2">
        <f t="shared" si="18"/>
        <v>7.999682121607779</v>
      </c>
      <c r="P57" s="2">
        <f>F57/13*0.9</f>
        <v>75.89492307692308</v>
      </c>
      <c r="Q57" s="10">
        <f>P57*O27</f>
        <v>396.9304476923077</v>
      </c>
      <c r="R57" s="4">
        <f t="shared" si="19"/>
        <v>4763.165372307692</v>
      </c>
      <c r="T57" t="s">
        <v>801</v>
      </c>
    </row>
    <row r="58" spans="1:20" ht="12.75">
      <c r="A58" t="s">
        <v>556</v>
      </c>
      <c r="C58" t="s">
        <v>373</v>
      </c>
      <c r="E58">
        <v>2100</v>
      </c>
      <c r="G58" s="2">
        <f>G35/O58</f>
        <v>0.3480052191521327</v>
      </c>
      <c r="H58" s="2">
        <f>H35/O58</f>
        <v>0.5220078287281991</v>
      </c>
      <c r="I58" s="2">
        <f>I35/O58</f>
        <v>0.6994904904957866</v>
      </c>
      <c r="J58" s="2">
        <f>J35/O58</f>
        <v>1.0440156574563981</v>
      </c>
      <c r="K58" s="2">
        <f t="shared" si="16"/>
        <v>2.0880313149127963</v>
      </c>
      <c r="L58" s="2">
        <f t="shared" si="17"/>
        <v>3.1320469723691944</v>
      </c>
      <c r="M58" s="2">
        <f t="shared" si="18"/>
        <v>4.1760626298255925</v>
      </c>
      <c r="N58" t="s">
        <v>1142</v>
      </c>
      <c r="O58" s="2">
        <f>E58/13*0.9</f>
        <v>145.3846153846154</v>
      </c>
      <c r="Q58" s="10">
        <f>O58*O26</f>
        <v>436.1538461538462</v>
      </c>
      <c r="R58" s="4">
        <f t="shared" si="19"/>
        <v>5233.846153846154</v>
      </c>
      <c r="T58" t="s">
        <v>197</v>
      </c>
    </row>
    <row r="59" spans="1:20" ht="12.75">
      <c r="A59" t="s">
        <v>562</v>
      </c>
      <c r="C59" s="3"/>
      <c r="F59" s="4">
        <f>E58*0.726</f>
        <v>1524.6</v>
      </c>
      <c r="G59" s="2">
        <f>G$35/$P59</f>
        <v>0.47934603188999</v>
      </c>
      <c r="H59" s="2">
        <f>H$35/$P59</f>
        <v>0.7190190478349849</v>
      </c>
      <c r="I59" s="2">
        <f>I$35/$P59</f>
        <v>0.9634855240988798</v>
      </c>
      <c r="J59" s="2">
        <f>J$35/$P59</f>
        <v>1.4380380956699699</v>
      </c>
      <c r="K59" s="2">
        <f t="shared" si="16"/>
        <v>2.8760761913399397</v>
      </c>
      <c r="L59" s="2">
        <f t="shared" si="17"/>
        <v>4.314114287009909</v>
      </c>
      <c r="M59" s="2">
        <f t="shared" si="18"/>
        <v>5.7521523826798795</v>
      </c>
      <c r="P59" s="2">
        <f>F59/13*0.9</f>
        <v>105.54923076923076</v>
      </c>
      <c r="Q59" s="10">
        <f>P59*O26</f>
        <v>316.6476923076923</v>
      </c>
      <c r="R59" s="4">
        <f t="shared" si="19"/>
        <v>3799.7723076923075</v>
      </c>
      <c r="T59" t="s">
        <v>198</v>
      </c>
    </row>
    <row r="60" spans="1:20" ht="12.75">
      <c r="A60" t="s">
        <v>563</v>
      </c>
      <c r="C60" t="s">
        <v>399</v>
      </c>
      <c r="E60">
        <v>2100</v>
      </c>
      <c r="G60" s="2">
        <f>G35/O60</f>
        <v>0.3480052191521327</v>
      </c>
      <c r="H60" s="2">
        <f>H35/O60</f>
        <v>0.5220078287281991</v>
      </c>
      <c r="I60" s="2">
        <f>I35/O60</f>
        <v>0.6994904904957866</v>
      </c>
      <c r="J60" s="2">
        <f>J35/O60</f>
        <v>1.0440156574563981</v>
      </c>
      <c r="K60" s="2">
        <f t="shared" si="16"/>
        <v>2.0880313149127963</v>
      </c>
      <c r="L60" s="2">
        <f t="shared" si="17"/>
        <v>3.1320469723691944</v>
      </c>
      <c r="M60" s="2">
        <f t="shared" si="18"/>
        <v>4.1760626298255925</v>
      </c>
      <c r="N60" t="s">
        <v>1142</v>
      </c>
      <c r="O60" s="2">
        <f>E60/13*0.9</f>
        <v>145.3846153846154</v>
      </c>
      <c r="Q60" s="10">
        <f>O60*O27</f>
        <v>760.3615384615385</v>
      </c>
      <c r="R60" s="4">
        <f t="shared" si="19"/>
        <v>9124.338461538462</v>
      </c>
      <c r="T60" t="s">
        <v>576</v>
      </c>
    </row>
    <row r="61" spans="1:20" ht="12.75">
      <c r="A61" t="s">
        <v>565</v>
      </c>
      <c r="F61" s="4">
        <f>E60*0.726</f>
        <v>1524.6</v>
      </c>
      <c r="G61" s="2">
        <f>G$35/$P61</f>
        <v>0.47934603188999</v>
      </c>
      <c r="H61" s="2">
        <f>H$35/$P61</f>
        <v>0.7190190478349849</v>
      </c>
      <c r="I61" s="2">
        <f>I$35/$P61</f>
        <v>0.9634855240988798</v>
      </c>
      <c r="J61" s="2">
        <f>J$35/$P61</f>
        <v>1.4380380956699699</v>
      </c>
      <c r="K61" s="2">
        <f t="shared" si="16"/>
        <v>2.8760761913399397</v>
      </c>
      <c r="L61" s="2">
        <f t="shared" si="17"/>
        <v>4.314114287009909</v>
      </c>
      <c r="M61" s="2">
        <f t="shared" si="18"/>
        <v>5.7521523826798795</v>
      </c>
      <c r="P61" s="2">
        <f>F61/13*0.9</f>
        <v>105.54923076923076</v>
      </c>
      <c r="Q61" s="10">
        <f>P61*O27</f>
        <v>552.022476923077</v>
      </c>
      <c r="R61" s="4">
        <f t="shared" si="19"/>
        <v>6624.269723076924</v>
      </c>
      <c r="T61" t="s">
        <v>605</v>
      </c>
    </row>
    <row r="62" spans="1:20" ht="12.75">
      <c r="A62" t="s">
        <v>566</v>
      </c>
      <c r="E62" s="46" t="s">
        <v>656</v>
      </c>
      <c r="F62" s="46" t="s">
        <v>651</v>
      </c>
      <c r="G62" s="26"/>
      <c r="H62" s="26"/>
      <c r="I62" s="26"/>
      <c r="J62" s="26"/>
      <c r="K62" s="26"/>
      <c r="L62" s="26"/>
      <c r="M62" s="26"/>
      <c r="T62" t="s">
        <v>606</v>
      </c>
    </row>
    <row r="63" spans="1:18" ht="12.75">
      <c r="A63" t="s">
        <v>569</v>
      </c>
      <c r="C63" t="s">
        <v>1143</v>
      </c>
      <c r="G63" s="25">
        <f>G35/O63</f>
        <v>0.7783785375118708</v>
      </c>
      <c r="H63" s="25">
        <f>H35/O63</f>
        <v>1.167567806267806</v>
      </c>
      <c r="I63" s="25">
        <f>I35/O63</f>
        <v>1.56454086039886</v>
      </c>
      <c r="J63" s="25">
        <f>J35/O63</f>
        <v>2.335135612535612</v>
      </c>
      <c r="K63" s="25">
        <f>J63*2</f>
        <v>4.670271225071224</v>
      </c>
      <c r="L63" s="25">
        <f>J63*3</f>
        <v>7.005406837606836</v>
      </c>
      <c r="M63" s="25">
        <f>J63*M3</f>
        <v>16.345949287749285</v>
      </c>
      <c r="N63" t="s">
        <v>1142</v>
      </c>
      <c r="O63" s="4">
        <v>65</v>
      </c>
      <c r="P63" t="s">
        <v>372</v>
      </c>
      <c r="R63" t="s">
        <v>953</v>
      </c>
    </row>
    <row r="64" spans="3:18" ht="12.75">
      <c r="C64" t="s">
        <v>938</v>
      </c>
      <c r="E64">
        <f>SUM(B65:D65)</f>
        <v>830</v>
      </c>
      <c r="G64" s="25">
        <f aca="true" t="shared" si="20" ref="G64:M64">G35/$O64</f>
        <v>0.8804951327945526</v>
      </c>
      <c r="H64" s="25">
        <f t="shared" si="20"/>
        <v>1.320742699191829</v>
      </c>
      <c r="I64" s="25">
        <f t="shared" si="20"/>
        <v>1.7697952169170506</v>
      </c>
      <c r="J64" s="25">
        <f t="shared" si="20"/>
        <v>2.641485398383658</v>
      </c>
      <c r="K64" s="25">
        <f t="shared" si="20"/>
        <v>5.282970796767316</v>
      </c>
      <c r="L64" s="25">
        <f t="shared" si="20"/>
        <v>7.924456195150972</v>
      </c>
      <c r="M64" s="25">
        <f t="shared" si="20"/>
        <v>18.490397788685605</v>
      </c>
      <c r="O64" s="2">
        <f>E64/13*0.9</f>
        <v>57.46153846153846</v>
      </c>
      <c r="R64" t="s">
        <v>945</v>
      </c>
    </row>
    <row r="65" spans="1:15" ht="12.75">
      <c r="A65" t="s">
        <v>802</v>
      </c>
      <c r="B65">
        <v>320</v>
      </c>
      <c r="C65">
        <v>360</v>
      </c>
      <c r="D65">
        <v>150</v>
      </c>
      <c r="G65" s="2"/>
      <c r="H65" s="2"/>
      <c r="I65" s="2"/>
      <c r="J65" s="22"/>
      <c r="K65" s="2"/>
      <c r="L65" s="2"/>
      <c r="M65" s="2"/>
      <c r="O65" s="2" t="s">
        <v>941</v>
      </c>
    </row>
    <row r="66" spans="5:15" ht="12.75">
      <c r="E66" s="8"/>
      <c r="F66" s="8"/>
      <c r="G66" s="39" t="s">
        <v>1021</v>
      </c>
      <c r="H66" s="39" t="s">
        <v>957</v>
      </c>
      <c r="I66" s="39" t="s">
        <v>958</v>
      </c>
      <c r="J66" s="43" t="s">
        <v>667</v>
      </c>
      <c r="K66" s="39" t="s">
        <v>967</v>
      </c>
      <c r="L66" s="39" t="s">
        <v>968</v>
      </c>
      <c r="M66" s="45">
        <f>M3</f>
        <v>7</v>
      </c>
      <c r="N66" s="39" t="s">
        <v>1026</v>
      </c>
      <c r="O66" t="s">
        <v>949</v>
      </c>
    </row>
    <row r="67" spans="1:15" ht="12.75">
      <c r="A67" t="s">
        <v>735</v>
      </c>
      <c r="O67" t="s">
        <v>454</v>
      </c>
    </row>
    <row r="68" spans="1:11" ht="12.75">
      <c r="A68" t="s">
        <v>736</v>
      </c>
      <c r="G68" s="2"/>
      <c r="H68" s="2"/>
      <c r="I68" s="2"/>
      <c r="J68" s="2"/>
      <c r="K68" s="3"/>
    </row>
    <row r="69" spans="1:21" ht="12.75">
      <c r="A69" t="s">
        <v>455</v>
      </c>
      <c r="O69" s="2"/>
      <c r="P69" t="s">
        <v>281</v>
      </c>
      <c r="U69" t="s">
        <v>279</v>
      </c>
    </row>
    <row r="70" spans="1:21" ht="12.75">
      <c r="A70" t="s">
        <v>536</v>
      </c>
      <c r="O70" s="2"/>
      <c r="P70" t="s">
        <v>282</v>
      </c>
      <c r="U70" t="s">
        <v>285</v>
      </c>
    </row>
    <row r="71" spans="1:21" ht="12.75">
      <c r="A71" t="s">
        <v>645</v>
      </c>
      <c r="N71" s="8" t="s">
        <v>54</v>
      </c>
      <c r="O71" s="2"/>
      <c r="U71" t="s">
        <v>280</v>
      </c>
    </row>
    <row r="72" spans="1:15" ht="12.75">
      <c r="A72" t="s">
        <v>702</v>
      </c>
      <c r="O72" s="2"/>
    </row>
    <row r="73" spans="1:15" ht="12.75">
      <c r="A73" t="s">
        <v>1093</v>
      </c>
      <c r="M73" t="s">
        <v>933</v>
      </c>
      <c r="O73" s="2"/>
    </row>
    <row r="74" spans="1:13" ht="12.75">
      <c r="A74" t="s">
        <v>737</v>
      </c>
      <c r="M74" t="s">
        <v>937</v>
      </c>
    </row>
    <row r="75" spans="1:12" ht="12.75">
      <c r="A75" t="s">
        <v>704</v>
      </c>
      <c r="L75" t="s">
        <v>1094</v>
      </c>
    </row>
    <row r="76" spans="1:12" ht="12.75">
      <c r="A76" t="s">
        <v>746</v>
      </c>
      <c r="L76" t="s">
        <v>1104</v>
      </c>
    </row>
    <row r="77" spans="1:12" ht="12.75">
      <c r="A77" t="s">
        <v>747</v>
      </c>
      <c r="L77" t="s">
        <v>1095</v>
      </c>
    </row>
    <row r="78" spans="1:12" ht="12.75">
      <c r="A78" t="s">
        <v>429</v>
      </c>
      <c r="L78" t="s">
        <v>469</v>
      </c>
    </row>
    <row r="79" spans="1:12" ht="12.75">
      <c r="A79" t="s">
        <v>929</v>
      </c>
      <c r="L79" t="s">
        <v>112</v>
      </c>
    </row>
    <row r="80" spans="1:12" ht="12.75">
      <c r="A80" t="s">
        <v>930</v>
      </c>
      <c r="L80" t="s">
        <v>876</v>
      </c>
    </row>
    <row r="81" spans="1:12" ht="12.75">
      <c r="A81" t="s">
        <v>538</v>
      </c>
      <c r="L81" t="s">
        <v>877</v>
      </c>
    </row>
    <row r="82" spans="1:12" ht="12.75">
      <c r="A82" t="s">
        <v>932</v>
      </c>
      <c r="L82" t="s">
        <v>878</v>
      </c>
    </row>
    <row r="83" spans="1:12" ht="12.75">
      <c r="A83" t="s">
        <v>696</v>
      </c>
      <c r="L83" t="s">
        <v>879</v>
      </c>
    </row>
    <row r="85" ht="12.75">
      <c r="A85" t="s">
        <v>697</v>
      </c>
    </row>
    <row r="86" ht="12.75">
      <c r="A86" t="s">
        <v>698</v>
      </c>
    </row>
    <row r="87" ht="12.75">
      <c r="A87" t="s">
        <v>637</v>
      </c>
    </row>
    <row r="88" ht="12.75">
      <c r="A88" t="s">
        <v>726</v>
      </c>
    </row>
    <row r="89" ht="12.75">
      <c r="L89" t="s">
        <v>720</v>
      </c>
    </row>
    <row r="90" spans="1:12" ht="12.75">
      <c r="A90" s="11" t="s">
        <v>16</v>
      </c>
      <c r="B90" s="8"/>
      <c r="C90" s="8"/>
      <c r="G90" t="s">
        <v>973</v>
      </c>
      <c r="L90" t="s">
        <v>721</v>
      </c>
    </row>
    <row r="91" spans="7:12" ht="12.75">
      <c r="G91" t="s">
        <v>983</v>
      </c>
      <c r="L91" t="s">
        <v>722</v>
      </c>
    </row>
    <row r="92" spans="1:12" ht="12.75">
      <c r="A92" t="s">
        <v>1158</v>
      </c>
      <c r="E92" t="s">
        <v>1161</v>
      </c>
      <c r="G92">
        <f>87710/1493</f>
        <v>58.747488278633625</v>
      </c>
      <c r="H92" t="s">
        <v>984</v>
      </c>
      <c r="L92" t="s">
        <v>725</v>
      </c>
    </row>
    <row r="93" spans="1:12" ht="12.75">
      <c r="A93" t="s">
        <v>1159</v>
      </c>
      <c r="C93" t="s">
        <v>1160</v>
      </c>
      <c r="E93" t="s">
        <v>1162</v>
      </c>
      <c r="G93" t="s">
        <v>727</v>
      </c>
      <c r="L93" t="s">
        <v>1097</v>
      </c>
    </row>
    <row r="94" spans="1:12" ht="12.75">
      <c r="A94" s="9"/>
      <c r="E94" s="10"/>
      <c r="G94" s="10"/>
      <c r="L94" t="s">
        <v>1098</v>
      </c>
    </row>
    <row r="95" spans="1:12" ht="12.75">
      <c r="A95" s="9">
        <v>0.1</v>
      </c>
      <c r="C95">
        <v>7000</v>
      </c>
      <c r="E95" s="10">
        <f aca="true" t="shared" si="21" ref="E95:E104">C95/365</f>
        <v>19.17808219178082</v>
      </c>
      <c r="G95" s="10" t="s">
        <v>728</v>
      </c>
      <c r="L95" t="s">
        <v>1110</v>
      </c>
    </row>
    <row r="96" spans="1:12" ht="12.75">
      <c r="A96" s="9">
        <v>0.2</v>
      </c>
      <c r="C96">
        <v>3300</v>
      </c>
      <c r="E96" s="10">
        <f t="shared" si="21"/>
        <v>9.04109589041096</v>
      </c>
      <c r="G96" s="10" t="s">
        <v>2</v>
      </c>
      <c r="L96" t="s">
        <v>1136</v>
      </c>
    </row>
    <row r="97" spans="1:12" ht="12.75">
      <c r="A97" s="9">
        <v>0.3</v>
      </c>
      <c r="C97">
        <v>2050</v>
      </c>
      <c r="E97" s="10">
        <f t="shared" si="21"/>
        <v>5.616438356164384</v>
      </c>
      <c r="G97" s="10"/>
      <c r="L97" t="s">
        <v>1099</v>
      </c>
    </row>
    <row r="98" spans="1:12" ht="12.75">
      <c r="A98" s="9">
        <v>0.4</v>
      </c>
      <c r="C98">
        <v>1475</v>
      </c>
      <c r="E98" s="10">
        <f t="shared" si="21"/>
        <v>4.041095890410959</v>
      </c>
      <c r="G98" s="10"/>
      <c r="L98" t="s">
        <v>1138</v>
      </c>
    </row>
    <row r="99" spans="1:12" ht="12.75">
      <c r="A99" s="9">
        <v>0.5</v>
      </c>
      <c r="C99">
        <v>1150</v>
      </c>
      <c r="E99" s="10">
        <f t="shared" si="21"/>
        <v>3.1506849315068495</v>
      </c>
      <c r="G99" s="10" t="s">
        <v>589</v>
      </c>
      <c r="L99" t="s">
        <v>312</v>
      </c>
    </row>
    <row r="100" spans="1:12" ht="12.75">
      <c r="A100" s="9">
        <v>0.6</v>
      </c>
      <c r="C100">
        <v>950</v>
      </c>
      <c r="E100" s="10">
        <f t="shared" si="21"/>
        <v>2.6027397260273974</v>
      </c>
      <c r="G100" s="10" t="s">
        <v>590</v>
      </c>
      <c r="L100" t="s">
        <v>1100</v>
      </c>
    </row>
    <row r="101" spans="1:12" ht="12.75">
      <c r="A101" s="9">
        <v>0.7</v>
      </c>
      <c r="C101">
        <v>780</v>
      </c>
      <c r="E101" s="10">
        <f t="shared" si="21"/>
        <v>2.136986301369863</v>
      </c>
      <c r="G101" s="10" t="s">
        <v>591</v>
      </c>
      <c r="L101" t="s">
        <v>1139</v>
      </c>
    </row>
    <row r="102" spans="1:12" ht="12.75">
      <c r="A102" s="9">
        <v>0.8</v>
      </c>
      <c r="C102">
        <v>675</v>
      </c>
      <c r="E102" s="10">
        <f t="shared" si="21"/>
        <v>1.8493150684931507</v>
      </c>
      <c r="G102" s="10" t="s">
        <v>592</v>
      </c>
      <c r="L102" t="s">
        <v>1140</v>
      </c>
    </row>
    <row r="103" spans="1:12" ht="12.75">
      <c r="A103" s="9">
        <v>0.9</v>
      </c>
      <c r="C103">
        <v>550</v>
      </c>
      <c r="E103" s="10">
        <f t="shared" si="21"/>
        <v>1.5068493150684932</v>
      </c>
      <c r="G103" s="10" t="s">
        <v>595</v>
      </c>
      <c r="L103" t="s">
        <v>1141</v>
      </c>
    </row>
    <row r="104" spans="1:12" ht="12.75">
      <c r="A104" s="9">
        <v>1</v>
      </c>
      <c r="C104">
        <v>500</v>
      </c>
      <c r="E104" s="10">
        <f t="shared" si="21"/>
        <v>1.36986301369863</v>
      </c>
      <c r="G104" s="10" t="s">
        <v>596</v>
      </c>
      <c r="L104" t="s">
        <v>206</v>
      </c>
    </row>
    <row r="105" spans="7:12" ht="12.75">
      <c r="G105" t="s">
        <v>597</v>
      </c>
      <c r="L105" t="s">
        <v>207</v>
      </c>
    </row>
    <row r="106" spans="1:12" ht="12.75">
      <c r="A106" t="s">
        <v>601</v>
      </c>
      <c r="L106" t="s">
        <v>1101</v>
      </c>
    </row>
    <row r="107" spans="1:12" ht="12.75">
      <c r="A107" t="s">
        <v>607</v>
      </c>
      <c r="L107" t="s">
        <v>1111</v>
      </c>
    </row>
    <row r="108" spans="1:12" ht="12.75">
      <c r="A108" t="s">
        <v>608</v>
      </c>
      <c r="L108" t="s">
        <v>1112</v>
      </c>
    </row>
    <row r="109" spans="1:12" ht="12.75">
      <c r="A109" t="s">
        <v>610</v>
      </c>
      <c r="L109" t="s">
        <v>1117</v>
      </c>
    </row>
    <row r="110" spans="1:12" ht="12.75">
      <c r="A110" t="s">
        <v>615</v>
      </c>
      <c r="L110" t="s">
        <v>1116</v>
      </c>
    </row>
    <row r="111" spans="1:12" ht="12.75">
      <c r="A111" t="s">
        <v>616</v>
      </c>
      <c r="L111" t="s">
        <v>14</v>
      </c>
    </row>
    <row r="112" spans="4:13" ht="12.75">
      <c r="D112" s="1"/>
      <c r="E112" s="1"/>
      <c r="F112" s="1"/>
      <c r="G112" s="1"/>
      <c r="H112" s="1"/>
      <c r="I112" s="1"/>
      <c r="J112" s="1"/>
      <c r="K112" s="1"/>
      <c r="L112" t="s">
        <v>15</v>
      </c>
      <c r="M112" s="1"/>
    </row>
    <row r="113" spans="1:13" ht="12.75">
      <c r="A113" t="s">
        <v>617</v>
      </c>
      <c r="D113" s="2"/>
      <c r="E113" s="2"/>
      <c r="F113" s="4"/>
      <c r="G113" s="2"/>
      <c r="H113" s="2"/>
      <c r="I113" s="2"/>
      <c r="J113" s="2"/>
      <c r="K113" s="2"/>
      <c r="L113" s="2"/>
      <c r="M113" t="s">
        <v>1135</v>
      </c>
    </row>
    <row r="114" spans="1:13" ht="12.75">
      <c r="A114" t="s">
        <v>44</v>
      </c>
      <c r="D114" s="2"/>
      <c r="E114" s="2"/>
      <c r="F114" s="4"/>
      <c r="G114" s="2"/>
      <c r="H114" s="2"/>
      <c r="I114" s="2"/>
      <c r="J114" s="2"/>
      <c r="K114" s="2"/>
      <c r="L114" s="2"/>
      <c r="M114" t="s">
        <v>1124</v>
      </c>
    </row>
    <row r="115" spans="1:13" ht="12.75">
      <c r="A115" t="s">
        <v>308</v>
      </c>
      <c r="D115" s="2"/>
      <c r="E115" s="2"/>
      <c r="F115" s="4"/>
      <c r="G115" s="2"/>
      <c r="H115" s="2"/>
      <c r="I115" s="2"/>
      <c r="J115" s="2"/>
      <c r="K115" s="2"/>
      <c r="L115" s="2"/>
      <c r="M115" t="s">
        <v>30</v>
      </c>
    </row>
    <row r="116" spans="4:13" ht="12.75">
      <c r="D116" s="2"/>
      <c r="E116" s="2"/>
      <c r="F116" s="4"/>
      <c r="G116" s="2"/>
      <c r="H116" s="2"/>
      <c r="I116" s="2"/>
      <c r="J116" s="2"/>
      <c r="K116" s="2"/>
      <c r="L116" s="2"/>
      <c r="M116" t="s">
        <v>31</v>
      </c>
    </row>
    <row r="117" spans="1:13" ht="12.75">
      <c r="A117" t="s">
        <v>729</v>
      </c>
      <c r="D117" s="2"/>
      <c r="E117" s="2"/>
      <c r="F117" s="4"/>
      <c r="G117" s="2"/>
      <c r="H117" s="2"/>
      <c r="I117" s="2"/>
      <c r="J117" s="2"/>
      <c r="K117" s="2"/>
      <c r="L117" s="2"/>
      <c r="M117" t="s">
        <v>1125</v>
      </c>
    </row>
    <row r="118" spans="1:13" ht="12.75">
      <c r="A118" t="s">
        <v>730</v>
      </c>
      <c r="D118" s="2"/>
      <c r="E118" s="2"/>
      <c r="F118" s="4"/>
      <c r="G118" s="2"/>
      <c r="H118" s="2"/>
      <c r="I118" s="2"/>
      <c r="J118" s="2"/>
      <c r="K118" s="2"/>
      <c r="L118" s="2"/>
      <c r="M118" t="s">
        <v>1127</v>
      </c>
    </row>
    <row r="119" spans="1:13" ht="12.75">
      <c r="A119" t="s">
        <v>731</v>
      </c>
      <c r="D119" s="2"/>
      <c r="E119" s="2"/>
      <c r="F119" s="4"/>
      <c r="G119" s="2"/>
      <c r="H119" s="2"/>
      <c r="I119" s="2"/>
      <c r="J119" s="2"/>
      <c r="K119" s="2"/>
      <c r="L119" s="2"/>
      <c r="M119" t="s">
        <v>1128</v>
      </c>
    </row>
    <row r="120" spans="1:13" ht="12.75">
      <c r="A120" t="s">
        <v>732</v>
      </c>
      <c r="D120" s="2"/>
      <c r="E120" s="2"/>
      <c r="F120" s="4"/>
      <c r="G120" s="2"/>
      <c r="H120" s="2"/>
      <c r="I120" s="2"/>
      <c r="J120" s="2"/>
      <c r="K120" s="2"/>
      <c r="L120" s="2"/>
      <c r="M120" t="s">
        <v>32</v>
      </c>
    </row>
    <row r="121" spans="1:13" ht="12.75">
      <c r="A121" t="s">
        <v>486</v>
      </c>
      <c r="D121" s="2"/>
      <c r="E121" s="2"/>
      <c r="F121" s="4"/>
      <c r="G121" s="2"/>
      <c r="H121" s="2"/>
      <c r="I121" s="2"/>
      <c r="J121" s="2"/>
      <c r="K121" s="2"/>
      <c r="L121" s="2"/>
      <c r="M121" t="s">
        <v>1126</v>
      </c>
    </row>
    <row r="122" spans="1:13" ht="12.75">
      <c r="A122" t="s">
        <v>485</v>
      </c>
      <c r="D122" s="2"/>
      <c r="E122" s="2"/>
      <c r="F122" s="4"/>
      <c r="G122" s="2"/>
      <c r="H122" s="2"/>
      <c r="I122" s="2"/>
      <c r="J122" s="2"/>
      <c r="K122" s="2"/>
      <c r="L122" s="2"/>
      <c r="M122" t="s">
        <v>41</v>
      </c>
    </row>
    <row r="123" spans="1:13" ht="12.75">
      <c r="A123" t="s">
        <v>733</v>
      </c>
      <c r="C123" s="2"/>
      <c r="D123" s="2"/>
      <c r="E123" s="2"/>
      <c r="F123" s="4"/>
      <c r="G123" s="2"/>
      <c r="H123" s="2"/>
      <c r="I123" s="2"/>
      <c r="J123" s="2"/>
      <c r="K123" s="2"/>
      <c r="L123" s="2"/>
      <c r="M123" t="s">
        <v>1129</v>
      </c>
    </row>
    <row r="124" spans="3:13" ht="12.75">
      <c r="C124" s="2"/>
      <c r="D124" s="2"/>
      <c r="E124" s="2"/>
      <c r="F124" s="4"/>
      <c r="G124" s="2"/>
      <c r="H124" s="2"/>
      <c r="I124" s="2"/>
      <c r="J124" s="2"/>
      <c r="K124" s="2"/>
      <c r="L124" s="2"/>
      <c r="M124" t="s">
        <v>631</v>
      </c>
    </row>
    <row r="125" spans="1:13" ht="12.75">
      <c r="A125" s="8" t="s">
        <v>49</v>
      </c>
      <c r="M125" t="s">
        <v>1131</v>
      </c>
    </row>
    <row r="126" spans="1:13" ht="12.75">
      <c r="A126" s="3">
        <v>210</v>
      </c>
      <c r="B126" t="s">
        <v>57</v>
      </c>
      <c r="I126" t="s">
        <v>663</v>
      </c>
      <c r="M126" t="s">
        <v>1132</v>
      </c>
    </row>
    <row r="127" spans="1:13" ht="12.75">
      <c r="A127" s="3">
        <v>80</v>
      </c>
      <c r="B127" t="s">
        <v>904</v>
      </c>
      <c r="M127" t="s">
        <v>1133</v>
      </c>
    </row>
    <row r="128" spans="1:13" ht="12.75">
      <c r="A128" s="3">
        <v>1138</v>
      </c>
      <c r="B128" t="s">
        <v>433</v>
      </c>
      <c r="M128" t="s">
        <v>1134</v>
      </c>
    </row>
    <row r="129" spans="1:13" ht="12.75">
      <c r="A129" s="3">
        <v>392</v>
      </c>
      <c r="B129" t="s">
        <v>1048</v>
      </c>
      <c r="M129" t="s">
        <v>208</v>
      </c>
    </row>
    <row r="130" spans="1:13" ht="12.75">
      <c r="A130" s="3">
        <v>430</v>
      </c>
      <c r="B130" t="s">
        <v>487</v>
      </c>
      <c r="M130" t="s">
        <v>210</v>
      </c>
    </row>
    <row r="131" spans="1:13" ht="12.75">
      <c r="A131" s="3">
        <v>410</v>
      </c>
      <c r="B131" t="s">
        <v>920</v>
      </c>
      <c r="M131" t="s">
        <v>209</v>
      </c>
    </row>
    <row r="132" spans="1:13" ht="12.75">
      <c r="A132" s="3">
        <v>35</v>
      </c>
      <c r="B132" t="s">
        <v>872</v>
      </c>
      <c r="M132" t="s">
        <v>309</v>
      </c>
    </row>
    <row r="133" spans="2:13" ht="12.75">
      <c r="B133" t="s">
        <v>873</v>
      </c>
      <c r="M133" t="s">
        <v>310</v>
      </c>
    </row>
    <row r="134" spans="1:13" ht="12.75">
      <c r="A134" s="3"/>
      <c r="M134" t="s">
        <v>311</v>
      </c>
    </row>
    <row r="135" spans="1:2" ht="12.75">
      <c r="A135" s="3">
        <f>SUM(A126:A134)</f>
        <v>2695</v>
      </c>
      <c r="B135" t="s">
        <v>1182</v>
      </c>
    </row>
    <row r="136" spans="1:3" ht="12.75">
      <c r="A136" s="3"/>
      <c r="C136" t="s">
        <v>1183</v>
      </c>
    </row>
    <row r="137" spans="2:12" ht="12.75">
      <c r="B137" t="s">
        <v>24</v>
      </c>
      <c r="L137" s="3"/>
    </row>
    <row r="138" spans="2:13" ht="12.75">
      <c r="B138" t="s">
        <v>48</v>
      </c>
      <c r="L138" s="3"/>
      <c r="M138" t="s">
        <v>321</v>
      </c>
    </row>
    <row r="139" spans="2:13" ht="12.75">
      <c r="B139" t="s">
        <v>25</v>
      </c>
      <c r="M139" t="s">
        <v>322</v>
      </c>
    </row>
    <row r="140" spans="2:13" ht="12.75">
      <c r="B140" t="s">
        <v>28</v>
      </c>
      <c r="M140" t="s">
        <v>323</v>
      </c>
    </row>
    <row r="141" spans="2:13" ht="12.75">
      <c r="B141" t="s">
        <v>50</v>
      </c>
      <c r="M141" t="s">
        <v>332</v>
      </c>
    </row>
    <row r="142" spans="2:13" ht="12.75">
      <c r="B142" t="s">
        <v>29</v>
      </c>
      <c r="M142" t="s">
        <v>320</v>
      </c>
    </row>
    <row r="143" ht="12.75">
      <c r="B143" t="s">
        <v>51</v>
      </c>
    </row>
    <row r="144" spans="2:13" ht="12.75">
      <c r="B144" t="s">
        <v>488</v>
      </c>
      <c r="M144" t="s">
        <v>264</v>
      </c>
    </row>
    <row r="145" ht="12.75">
      <c r="M145" s="21" t="s">
        <v>263</v>
      </c>
    </row>
    <row r="146" spans="2:13" ht="12.75">
      <c r="B146" t="s">
        <v>52</v>
      </c>
      <c r="M146" t="s">
        <v>313</v>
      </c>
    </row>
    <row r="147" spans="2:13" ht="12.75">
      <c r="B147" t="s">
        <v>53</v>
      </c>
      <c r="M147" t="s">
        <v>265</v>
      </c>
    </row>
    <row r="148" spans="2:13" ht="12.75">
      <c r="B148" t="s">
        <v>55</v>
      </c>
      <c r="G148" s="2"/>
      <c r="H148" s="2"/>
      <c r="I148" s="2"/>
      <c r="J148" s="2"/>
      <c r="K148" s="2"/>
      <c r="L148" s="2"/>
      <c r="M148" t="s">
        <v>267</v>
      </c>
    </row>
    <row r="149" spans="2:12" ht="12.75">
      <c r="B149" t="s">
        <v>56</v>
      </c>
      <c r="G149" s="2"/>
      <c r="H149" s="2"/>
      <c r="I149" s="2"/>
      <c r="J149" s="2"/>
      <c r="K149" s="2"/>
      <c r="L149" s="2"/>
    </row>
    <row r="150" ht="12.75">
      <c r="M150" t="s">
        <v>338</v>
      </c>
    </row>
    <row r="151" spans="2:13" ht="12.75">
      <c r="B151" t="s">
        <v>62</v>
      </c>
      <c r="M151" t="s">
        <v>336</v>
      </c>
    </row>
    <row r="152" spans="2:13" ht="12.75">
      <c r="B152" t="s">
        <v>65</v>
      </c>
      <c r="M152" t="s">
        <v>1049</v>
      </c>
    </row>
    <row r="153" spans="2:13" ht="12.75">
      <c r="B153" t="s">
        <v>117</v>
      </c>
      <c r="M153" t="s">
        <v>339</v>
      </c>
    </row>
    <row r="154" spans="2:13" ht="12.75">
      <c r="B154" t="s">
        <v>163</v>
      </c>
      <c r="M154" t="s">
        <v>340</v>
      </c>
    </row>
    <row r="155" spans="2:13" ht="12.75">
      <c r="B155" t="s">
        <v>165</v>
      </c>
      <c r="M155" t="s">
        <v>342</v>
      </c>
    </row>
    <row r="156" ht="12.75">
      <c r="M156" t="s">
        <v>344</v>
      </c>
    </row>
    <row r="157" spans="2:13" ht="12.75">
      <c r="B157" t="s">
        <v>125</v>
      </c>
      <c r="M157" t="s">
        <v>345</v>
      </c>
    </row>
    <row r="158" spans="2:13" ht="12.75">
      <c r="B158" t="s">
        <v>126</v>
      </c>
      <c r="M158" t="s">
        <v>346</v>
      </c>
    </row>
    <row r="160" spans="2:16" ht="12.75">
      <c r="B160" t="s">
        <v>1050</v>
      </c>
      <c r="I160" s="29"/>
      <c r="J160" s="17"/>
      <c r="P160" s="20" t="s">
        <v>366</v>
      </c>
    </row>
    <row r="161" spans="2:21" ht="12.75">
      <c r="B161" t="s">
        <v>629</v>
      </c>
      <c r="O161" t="s">
        <v>925</v>
      </c>
      <c r="P161" s="20"/>
      <c r="Q161" t="s">
        <v>924</v>
      </c>
      <c r="R161" t="s">
        <v>886</v>
      </c>
      <c r="S161" t="s">
        <v>928</v>
      </c>
      <c r="U161" t="s">
        <v>1028</v>
      </c>
    </row>
    <row r="162" spans="2:21" ht="12.75">
      <c r="B162" t="s">
        <v>630</v>
      </c>
      <c r="L162" t="s">
        <v>537</v>
      </c>
      <c r="P162" t="s">
        <v>113</v>
      </c>
      <c r="Q162">
        <v>3.34</v>
      </c>
      <c r="R162">
        <v>4.09</v>
      </c>
      <c r="S162">
        <v>4.74</v>
      </c>
      <c r="U162">
        <v>3.67</v>
      </c>
    </row>
    <row r="163" ht="12.75">
      <c r="B163" t="s">
        <v>1052</v>
      </c>
    </row>
    <row r="164" spans="2:21" ht="12.75">
      <c r="B164" t="s">
        <v>1053</v>
      </c>
      <c r="P164" t="s">
        <v>255</v>
      </c>
      <c r="Q164">
        <v>5.09</v>
      </c>
      <c r="R164">
        <v>5.16</v>
      </c>
      <c r="S164">
        <v>6.74</v>
      </c>
      <c r="U164">
        <v>4.62</v>
      </c>
    </row>
    <row r="165" ht="12.75">
      <c r="B165" t="s">
        <v>128</v>
      </c>
    </row>
    <row r="166" spans="2:16" ht="12.75">
      <c r="B166" t="s">
        <v>212</v>
      </c>
      <c r="P166" t="s">
        <v>368</v>
      </c>
    </row>
    <row r="167" ht="12.75">
      <c r="B167" t="s">
        <v>129</v>
      </c>
    </row>
    <row r="168" spans="2:16" ht="12.75">
      <c r="B168" t="s">
        <v>216</v>
      </c>
      <c r="P168" t="s">
        <v>893</v>
      </c>
    </row>
    <row r="169" spans="2:16" ht="12.75">
      <c r="B169" t="s">
        <v>139</v>
      </c>
      <c r="P169" t="s">
        <v>262</v>
      </c>
    </row>
    <row r="170" spans="2:16" ht="12.75">
      <c r="B170" t="s">
        <v>140</v>
      </c>
      <c r="P170" t="s">
        <v>367</v>
      </c>
    </row>
    <row r="171" ht="12.75">
      <c r="B171" t="s">
        <v>217</v>
      </c>
    </row>
    <row r="172" spans="2:16" ht="12.75">
      <c r="B172" t="s">
        <v>143</v>
      </c>
      <c r="P172" t="s">
        <v>245</v>
      </c>
    </row>
    <row r="173" spans="2:16" ht="12.75">
      <c r="B173" t="s">
        <v>144</v>
      </c>
      <c r="P173" t="s">
        <v>246</v>
      </c>
    </row>
    <row r="174" ht="12.75">
      <c r="P174" t="s">
        <v>290</v>
      </c>
    </row>
    <row r="175" spans="2:16" ht="12.75">
      <c r="B175" t="s">
        <v>287</v>
      </c>
      <c r="P175" t="s">
        <v>291</v>
      </c>
    </row>
    <row r="176" ht="12.75">
      <c r="B176" t="s">
        <v>167</v>
      </c>
    </row>
    <row r="177" spans="2:13" ht="12.75">
      <c r="B177" t="s">
        <v>166</v>
      </c>
      <c r="L177" t="s">
        <v>925</v>
      </c>
      <c r="M177" t="s">
        <v>927</v>
      </c>
    </row>
    <row r="178" spans="2:13" ht="12.75">
      <c r="B178" t="s">
        <v>288</v>
      </c>
      <c r="M178" t="s">
        <v>263</v>
      </c>
    </row>
    <row r="179" ht="12.75">
      <c r="B179" t="s">
        <v>314</v>
      </c>
    </row>
    <row r="180" ht="12.75">
      <c r="B180" t="s">
        <v>315</v>
      </c>
    </row>
    <row r="182" spans="3:14" ht="12.75">
      <c r="C182" s="8" t="s">
        <v>490</v>
      </c>
      <c r="H182" s="2"/>
      <c r="I182" s="2"/>
      <c r="J182" s="2"/>
      <c r="K182" s="2"/>
      <c r="L182" s="2"/>
      <c r="M182" s="2"/>
      <c r="N182" s="10"/>
    </row>
    <row r="183" spans="1:13" ht="12.75">
      <c r="A183" s="15"/>
      <c r="C183" t="s">
        <v>414</v>
      </c>
      <c r="E183" t="s">
        <v>420</v>
      </c>
      <c r="G183" s="2" t="s">
        <v>628</v>
      </c>
      <c r="H183" s="2"/>
      <c r="I183" s="2"/>
      <c r="J183" s="2"/>
      <c r="K183" s="2"/>
      <c r="L183" s="2"/>
      <c r="M183" s="2"/>
    </row>
    <row r="184" spans="3:16" ht="12.75">
      <c r="C184" t="s">
        <v>373</v>
      </c>
      <c r="E184">
        <v>400</v>
      </c>
      <c r="F184" t="s">
        <v>201</v>
      </c>
      <c r="G184" s="2">
        <f>G$35/$O$184</f>
        <v>1.8270274005486966</v>
      </c>
      <c r="H184" s="2">
        <f>H$35/$O$184</f>
        <v>2.740541100823045</v>
      </c>
      <c r="I184" s="2">
        <f>I$35/$O$184</f>
        <v>3.6723250751028798</v>
      </c>
      <c r="J184" s="2">
        <f>J$35/$O$184</f>
        <v>5.48108220164609</v>
      </c>
      <c r="K184" s="2">
        <f>J184*2</f>
        <v>10.96216440329218</v>
      </c>
      <c r="L184" s="2">
        <f>J184*3</f>
        <v>16.44324660493827</v>
      </c>
      <c r="M184" s="2">
        <f>J184*4</f>
        <v>21.92432880658436</v>
      </c>
      <c r="N184" t="s">
        <v>1142</v>
      </c>
      <c r="O184">
        <f>E184/13*0.9</f>
        <v>27.692307692307693</v>
      </c>
      <c r="P184" t="s">
        <v>370</v>
      </c>
    </row>
    <row r="185" spans="3:16" ht="12.75">
      <c r="C185" t="s">
        <v>399</v>
      </c>
      <c r="E185">
        <v>400</v>
      </c>
      <c r="F185" t="s">
        <v>201</v>
      </c>
      <c r="G185" s="2">
        <f>G$35/$O$184</f>
        <v>1.8270274005486966</v>
      </c>
      <c r="H185" s="2">
        <f>H$35/$O185</f>
        <v>2.740541100823045</v>
      </c>
      <c r="I185" s="2">
        <f>I$35/$O185</f>
        <v>3.6723250751028798</v>
      </c>
      <c r="J185" s="2">
        <f>J$35/$O185</f>
        <v>5.48108220164609</v>
      </c>
      <c r="K185" s="2">
        <f>J185*2</f>
        <v>10.96216440329218</v>
      </c>
      <c r="L185" s="2">
        <f>J185*3</f>
        <v>16.44324660493827</v>
      </c>
      <c r="M185" s="2">
        <f>J185*4</f>
        <v>21.92432880658436</v>
      </c>
      <c r="N185" t="s">
        <v>1142</v>
      </c>
      <c r="O185">
        <f>E185/13*0.9</f>
        <v>27.692307692307693</v>
      </c>
      <c r="P185" t="s">
        <v>370</v>
      </c>
    </row>
    <row r="186" spans="3:19" ht="12.75">
      <c r="C186" t="s">
        <v>373</v>
      </c>
      <c r="E186">
        <v>800</v>
      </c>
      <c r="F186" t="s">
        <v>201</v>
      </c>
      <c r="G186" s="2">
        <f aca="true" t="shared" si="22" ref="G186:J187">G$35/$O$186</f>
        <v>0.9135137002743483</v>
      </c>
      <c r="H186" s="2">
        <f t="shared" si="22"/>
        <v>1.3702705504115225</v>
      </c>
      <c r="I186" s="2">
        <f t="shared" si="22"/>
        <v>1.8361625375514399</v>
      </c>
      <c r="J186" s="2">
        <f t="shared" si="22"/>
        <v>2.740541100823045</v>
      </c>
      <c r="K186" s="2">
        <f>J186*2</f>
        <v>5.48108220164609</v>
      </c>
      <c r="L186" s="2">
        <f>J186*3</f>
        <v>8.221623302469135</v>
      </c>
      <c r="M186" s="2">
        <f>J186*4</f>
        <v>10.96216440329218</v>
      </c>
      <c r="N186" t="s">
        <v>1142</v>
      </c>
      <c r="O186">
        <f>E186/13*0.9</f>
        <v>55.38461538461539</v>
      </c>
      <c r="S186" s="20" t="s">
        <v>366</v>
      </c>
    </row>
    <row r="187" spans="3:20" ht="12.75">
      <c r="C187" t="s">
        <v>399</v>
      </c>
      <c r="E187">
        <v>800</v>
      </c>
      <c r="F187" t="s">
        <v>201</v>
      </c>
      <c r="G187" s="2">
        <f t="shared" si="22"/>
        <v>0.9135137002743483</v>
      </c>
      <c r="H187" s="2">
        <f t="shared" si="22"/>
        <v>1.3702705504115225</v>
      </c>
      <c r="I187" s="2">
        <f t="shared" si="22"/>
        <v>1.8361625375514399</v>
      </c>
      <c r="J187" s="2">
        <f t="shared" si="22"/>
        <v>2.740541100823045</v>
      </c>
      <c r="K187" s="2">
        <f>J187*2</f>
        <v>5.48108220164609</v>
      </c>
      <c r="L187" s="2">
        <f>J187*3</f>
        <v>8.221623302469135</v>
      </c>
      <c r="M187" s="2">
        <f>J187*4</f>
        <v>10.96216440329218</v>
      </c>
      <c r="N187" t="s">
        <v>1142</v>
      </c>
      <c r="O187">
        <f>E187/13*0.9</f>
        <v>55.38461538461539</v>
      </c>
      <c r="Q187" t="s">
        <v>491</v>
      </c>
      <c r="S187" t="s">
        <v>254</v>
      </c>
      <c r="T187" s="10">
        <f>O26*1.225</f>
        <v>3.6750000000000003</v>
      </c>
    </row>
    <row r="188" spans="7:20" ht="12.75">
      <c r="G188" s="2"/>
      <c r="H188" s="2"/>
      <c r="I188" s="2"/>
      <c r="J188" s="2"/>
      <c r="K188" s="2"/>
      <c r="L188" s="2"/>
      <c r="M188" s="2"/>
      <c r="Q188" t="s">
        <v>492</v>
      </c>
      <c r="S188" t="s">
        <v>255</v>
      </c>
      <c r="T188" s="10">
        <f>O27*1.225</f>
        <v>6.406750000000001</v>
      </c>
    </row>
    <row r="189" spans="3:17" ht="12.75">
      <c r="C189" t="s">
        <v>989</v>
      </c>
      <c r="G189" s="2"/>
      <c r="H189" s="2"/>
      <c r="I189" s="2"/>
      <c r="J189" s="2"/>
      <c r="K189" s="2"/>
      <c r="L189" s="2"/>
      <c r="M189" s="2"/>
      <c r="Q189" t="s">
        <v>493</v>
      </c>
    </row>
    <row r="190" spans="7:13" ht="12.75">
      <c r="G190" s="2"/>
      <c r="H190" s="2"/>
      <c r="I190" s="2"/>
      <c r="J190" s="2"/>
      <c r="K190" s="2"/>
      <c r="L190" s="2"/>
      <c r="M190" s="2"/>
    </row>
    <row r="191" spans="2:13" ht="12.75">
      <c r="B191" s="8" t="s">
        <v>527</v>
      </c>
      <c r="G191" s="2"/>
      <c r="H191" s="2"/>
      <c r="I191" s="2"/>
      <c r="J191" s="2"/>
      <c r="K191" s="2"/>
      <c r="L191" s="2"/>
      <c r="M191" s="2"/>
    </row>
    <row r="192" spans="2:13" ht="12.75">
      <c r="B192" s="23" t="s">
        <v>374</v>
      </c>
      <c r="G192" s="2"/>
      <c r="H192" s="2"/>
      <c r="I192" s="2"/>
      <c r="J192" s="2"/>
      <c r="K192" s="2"/>
      <c r="L192" s="2"/>
      <c r="M192" s="2"/>
    </row>
    <row r="193" spans="2:13" ht="12.75">
      <c r="B193" t="s">
        <v>516</v>
      </c>
      <c r="G193" s="2"/>
      <c r="H193" s="2"/>
      <c r="I193" s="2"/>
      <c r="J193" s="2"/>
      <c r="K193" s="2"/>
      <c r="L193" s="2"/>
      <c r="M193" s="2"/>
    </row>
    <row r="194" spans="2:13" ht="12.75">
      <c r="B194" t="s">
        <v>494</v>
      </c>
      <c r="G194" s="2"/>
      <c r="H194" s="2"/>
      <c r="I194" s="2"/>
      <c r="J194" s="2"/>
      <c r="K194" t="s">
        <v>121</v>
      </c>
      <c r="L194" s="2"/>
      <c r="M194" s="2"/>
    </row>
    <row r="195" spans="2:13" ht="12.75">
      <c r="B195" t="s">
        <v>1054</v>
      </c>
      <c r="G195" s="2"/>
      <c r="H195" s="2"/>
      <c r="I195" s="2"/>
      <c r="J195" s="2"/>
      <c r="K195" t="s">
        <v>123</v>
      </c>
      <c r="L195" s="2"/>
      <c r="M195" s="2"/>
    </row>
    <row r="196" spans="2:13" ht="12.75">
      <c r="B196" t="s">
        <v>1055</v>
      </c>
      <c r="G196" s="2"/>
      <c r="H196" s="2"/>
      <c r="I196" s="2"/>
      <c r="J196" s="2"/>
      <c r="K196" s="2" t="s">
        <v>296</v>
      </c>
      <c r="L196" s="2"/>
      <c r="M196" s="2"/>
    </row>
    <row r="197" spans="7:13" ht="12.75">
      <c r="G197" s="2"/>
      <c r="H197" s="2"/>
      <c r="I197" s="2"/>
      <c r="J197" s="2"/>
      <c r="K197" s="2"/>
      <c r="L197" s="2"/>
      <c r="M197" s="2"/>
    </row>
    <row r="198" spans="2:15" ht="12.75">
      <c r="B198" t="s">
        <v>499</v>
      </c>
      <c r="G198" s="2"/>
      <c r="H198" s="2"/>
      <c r="I198" s="2"/>
      <c r="J198" s="2"/>
      <c r="K198" s="2"/>
      <c r="L198" s="2"/>
      <c r="M198" s="2"/>
      <c r="O198" s="4"/>
    </row>
    <row r="199" ht="12.75">
      <c r="B199" t="s">
        <v>501</v>
      </c>
    </row>
    <row r="201" ht="12.75">
      <c r="B201" s="23" t="s">
        <v>1056</v>
      </c>
    </row>
    <row r="202" ht="12.75">
      <c r="B202" s="23" t="s">
        <v>1057</v>
      </c>
    </row>
    <row r="203" ht="12.75">
      <c r="B203" s="23" t="s">
        <v>1058</v>
      </c>
    </row>
    <row r="204" ht="12.75">
      <c r="B204" s="23"/>
    </row>
    <row r="205" ht="12.75">
      <c r="B205" s="23" t="s">
        <v>1059</v>
      </c>
    </row>
    <row r="206" ht="12.75">
      <c r="B206" s="23" t="s">
        <v>1060</v>
      </c>
    </row>
    <row r="209" spans="2:15" ht="12.75">
      <c r="B209" t="s">
        <v>502</v>
      </c>
      <c r="O209" t="s">
        <v>1022</v>
      </c>
    </row>
    <row r="210" ht="12.75">
      <c r="O210" t="s">
        <v>1023</v>
      </c>
    </row>
    <row r="211" spans="2:15" ht="12.75">
      <c r="B211" t="s">
        <v>528</v>
      </c>
      <c r="O211" t="s">
        <v>1024</v>
      </c>
    </row>
    <row r="212" spans="2:15" ht="12.75">
      <c r="B212" t="s">
        <v>854</v>
      </c>
      <c r="O212" t="s">
        <v>1025</v>
      </c>
    </row>
    <row r="213" ht="12.75">
      <c r="B213" t="s">
        <v>530</v>
      </c>
    </row>
    <row r="214" ht="12.75">
      <c r="B214" t="s">
        <v>533</v>
      </c>
    </row>
    <row r="215" ht="12.75">
      <c r="B215" t="s">
        <v>540</v>
      </c>
    </row>
    <row r="216" ht="12.75">
      <c r="B216" t="s">
        <v>539</v>
      </c>
    </row>
    <row r="217" ht="12.75">
      <c r="B217" t="s">
        <v>869</v>
      </c>
    </row>
    <row r="218" ht="12.75">
      <c r="B218" t="s">
        <v>541</v>
      </c>
    </row>
    <row r="220" ht="12.75">
      <c r="B220" t="s">
        <v>642</v>
      </c>
    </row>
    <row r="221" ht="12.75">
      <c r="B221" t="s">
        <v>643</v>
      </c>
    </row>
    <row r="222" ht="12.75">
      <c r="B222" t="s">
        <v>644</v>
      </c>
    </row>
    <row r="223" ht="12.75">
      <c r="B223" t="s">
        <v>647</v>
      </c>
    </row>
    <row r="224" ht="12.75">
      <c r="B224" t="s">
        <v>648</v>
      </c>
    </row>
    <row r="225" ht="12.75">
      <c r="B225" t="s">
        <v>650</v>
      </c>
    </row>
    <row r="226" ht="12.75">
      <c r="B226" t="s">
        <v>649</v>
      </c>
    </row>
    <row r="228" ht="12.75">
      <c r="A228" t="s">
        <v>855</v>
      </c>
    </row>
    <row r="229" spans="1:6" ht="12.75">
      <c r="A229" t="s">
        <v>856</v>
      </c>
      <c r="E229">
        <v>560</v>
      </c>
      <c r="F229" t="s">
        <v>201</v>
      </c>
    </row>
    <row r="230" spans="1:6" ht="12.75">
      <c r="A230" t="s">
        <v>860</v>
      </c>
      <c r="E230">
        <v>290</v>
      </c>
      <c r="F230" t="s">
        <v>201</v>
      </c>
    </row>
    <row r="231" spans="1:6" ht="12.75">
      <c r="A231" t="s">
        <v>861</v>
      </c>
      <c r="E231">
        <v>500</v>
      </c>
      <c r="F231" t="s">
        <v>201</v>
      </c>
    </row>
    <row r="232" spans="1:6" ht="12.75">
      <c r="A232" t="s">
        <v>862</v>
      </c>
      <c r="E232">
        <v>38</v>
      </c>
      <c r="F232" t="s">
        <v>201</v>
      </c>
    </row>
    <row r="233" spans="1:6" ht="12.75">
      <c r="A233" t="s">
        <v>864</v>
      </c>
      <c r="E233">
        <v>8</v>
      </c>
      <c r="F233" t="s">
        <v>201</v>
      </c>
    </row>
    <row r="235" spans="1:7" ht="12.75">
      <c r="A235" t="s">
        <v>865</v>
      </c>
      <c r="E235">
        <f>SUM(E229:E234)</f>
        <v>1396</v>
      </c>
      <c r="F235" t="s">
        <v>201</v>
      </c>
      <c r="G235" t="s">
        <v>866</v>
      </c>
    </row>
    <row r="237" spans="1:16" ht="12.75">
      <c r="A237" t="s">
        <v>375</v>
      </c>
      <c r="P237" t="s">
        <v>376</v>
      </c>
    </row>
    <row r="238" ht="12.75">
      <c r="P238" t="s">
        <v>386</v>
      </c>
    </row>
    <row r="239" ht="12.75">
      <c r="P239" t="s">
        <v>387</v>
      </c>
    </row>
    <row r="240" ht="12.75">
      <c r="P240" t="s">
        <v>388</v>
      </c>
    </row>
    <row r="241" spans="1:16" ht="12.75">
      <c r="A241" t="s">
        <v>1076</v>
      </c>
      <c r="P241" t="s">
        <v>392</v>
      </c>
    </row>
    <row r="242" spans="1:16" ht="12.75">
      <c r="A242" t="s">
        <v>1027</v>
      </c>
      <c r="P242" t="s">
        <v>393</v>
      </c>
    </row>
    <row r="243" spans="1:16" ht="12.75">
      <c r="A243" t="s">
        <v>1068</v>
      </c>
      <c r="P243" t="s">
        <v>394</v>
      </c>
    </row>
    <row r="244" spans="1:16" ht="12.75">
      <c r="A244" t="s">
        <v>1071</v>
      </c>
      <c r="P244" t="s">
        <v>395</v>
      </c>
    </row>
    <row r="245" spans="1:16" ht="12.75">
      <c r="A245" t="s">
        <v>1075</v>
      </c>
      <c r="P245" t="s">
        <v>396</v>
      </c>
    </row>
    <row r="246" spans="1:16" ht="12.75">
      <c r="A246" t="s">
        <v>1073</v>
      </c>
      <c r="P246" t="s">
        <v>397</v>
      </c>
    </row>
    <row r="247" ht="12.75">
      <c r="A247" t="s">
        <v>1061</v>
      </c>
    </row>
    <row r="248" ht="12.75">
      <c r="A248" t="s">
        <v>1077</v>
      </c>
    </row>
    <row r="250" ht="12.75">
      <c r="A250" s="48" t="s">
        <v>1036</v>
      </c>
    </row>
    <row r="251" ht="12.75">
      <c r="A251" s="48" t="s">
        <v>1065</v>
      </c>
    </row>
    <row r="252" ht="12.75">
      <c r="A252" s="48" t="s">
        <v>1067</v>
      </c>
    </row>
    <row r="254" spans="1:2" ht="12.75">
      <c r="A254" s="51" t="s">
        <v>677</v>
      </c>
      <c r="B254" t="s">
        <v>1184</v>
      </c>
    </row>
    <row r="255" ht="12.75">
      <c r="B255" t="s">
        <v>678</v>
      </c>
    </row>
    <row r="256" ht="12.75">
      <c r="B256" t="s">
        <v>679</v>
      </c>
    </row>
    <row r="257" ht="12.75">
      <c r="B257" t="s">
        <v>680</v>
      </c>
    </row>
    <row r="258" ht="12.75">
      <c r="B258" t="s">
        <v>681</v>
      </c>
    </row>
    <row r="259" ht="12.75">
      <c r="B259" t="s">
        <v>682</v>
      </c>
    </row>
    <row r="260" ht="12.75">
      <c r="B260" t="s">
        <v>683</v>
      </c>
    </row>
    <row r="261" ht="12.75">
      <c r="B261" t="s">
        <v>685</v>
      </c>
    </row>
    <row r="262" ht="12.75">
      <c r="B262" t="s">
        <v>1185</v>
      </c>
    </row>
    <row r="264" spans="1:10" ht="12.75">
      <c r="A264" s="24" t="s">
        <v>772</v>
      </c>
      <c r="B264" t="s">
        <v>754</v>
      </c>
      <c r="J264" t="s">
        <v>773</v>
      </c>
    </row>
    <row r="265" spans="1:10" ht="12.75">
      <c r="A265" t="s">
        <v>765</v>
      </c>
      <c r="J265" t="s">
        <v>774</v>
      </c>
    </row>
    <row r="266" spans="1:10" ht="12.75">
      <c r="A266" t="s">
        <v>766</v>
      </c>
      <c r="B266" t="s">
        <v>755</v>
      </c>
      <c r="J266" t="s">
        <v>775</v>
      </c>
    </row>
    <row r="267" spans="1:2" ht="12.75">
      <c r="A267" t="s">
        <v>767</v>
      </c>
      <c r="B267" t="s">
        <v>756</v>
      </c>
    </row>
    <row r="268" spans="1:2" ht="12.75">
      <c r="A268" t="s">
        <v>768</v>
      </c>
      <c r="B268" t="s">
        <v>757</v>
      </c>
    </row>
    <row r="269" spans="1:2" ht="12.75">
      <c r="A269" t="s">
        <v>769</v>
      </c>
      <c r="B269" t="s">
        <v>758</v>
      </c>
    </row>
    <row r="270" spans="1:2" ht="12.75">
      <c r="A270" t="s">
        <v>770</v>
      </c>
      <c r="B270" t="s">
        <v>759</v>
      </c>
    </row>
    <row r="271" spans="1:2" ht="12.75">
      <c r="A271" t="s">
        <v>771</v>
      </c>
      <c r="B271" t="s">
        <v>761</v>
      </c>
    </row>
    <row r="272" ht="12.75">
      <c r="B272" t="s">
        <v>762</v>
      </c>
    </row>
    <row r="273" ht="12.75">
      <c r="B273" t="s">
        <v>763</v>
      </c>
    </row>
    <row r="274" ht="12.75">
      <c r="B274" t="s">
        <v>764</v>
      </c>
    </row>
    <row r="277" ht="12.75">
      <c r="A277" t="s">
        <v>114</v>
      </c>
    </row>
    <row r="278" spans="1:3" ht="12.75">
      <c r="A278" s="55">
        <v>43676</v>
      </c>
      <c r="C278" t="s">
        <v>459</v>
      </c>
    </row>
    <row r="279" ht="12.75">
      <c r="C279" t="s">
        <v>460</v>
      </c>
    </row>
    <row r="280" ht="12.75">
      <c r="C280" t="s">
        <v>461</v>
      </c>
    </row>
    <row r="282" spans="1:3" ht="12.75">
      <c r="A282" s="55">
        <v>43591</v>
      </c>
      <c r="C282" t="s">
        <v>115</v>
      </c>
    </row>
    <row r="308" ht="12.75">
      <c r="A308" t="s">
        <v>20</v>
      </c>
    </row>
  </sheetData>
  <sheetProtection/>
  <conditionalFormatting sqref="G36:M36">
    <cfRule type="expression" priority="1" dxfId="0" stopIfTrue="1">
      <formula>G32&lt;=$O$17</formula>
    </cfRule>
    <cfRule type="expression" priority="2" dxfId="4" stopIfTrue="1">
      <formula>G32&gt;$O$17</formula>
    </cfRule>
  </conditionalFormatting>
  <conditionalFormatting sqref="G65:M65">
    <cfRule type="expression" priority="3" dxfId="0" stopIfTrue="1">
      <formula>G32&lt;=$O$17</formula>
    </cfRule>
    <cfRule type="expression" priority="4" dxfId="4" stopIfTrue="1">
      <formula>G32&gt;$O$17</formula>
    </cfRule>
  </conditionalFormatting>
  <conditionalFormatting sqref="H182:N182">
    <cfRule type="cellIs" priority="5" dxfId="4" operator="greaterThan" stopIfTrue="1">
      <formula>$O$26</formula>
    </cfRule>
  </conditionalFormatting>
  <conditionalFormatting sqref="G184:M184 G186:M186">
    <cfRule type="cellIs" priority="6" dxfId="5" operator="lessThanOrEqual" stopIfTrue="1">
      <formula>$T$187</formula>
    </cfRule>
    <cfRule type="cellIs" priority="7" dxfId="10" operator="greaterThan" stopIfTrue="1">
      <formula>$T$187</formula>
    </cfRule>
  </conditionalFormatting>
  <conditionalFormatting sqref="G185:M185 G187:M187">
    <cfRule type="cellIs" priority="8" dxfId="5" operator="lessThanOrEqual" stopIfTrue="1">
      <formula>$T$188</formula>
    </cfRule>
    <cfRule type="cellIs" priority="9" dxfId="10" operator="greaterThan" stopIfTrue="1">
      <formula>$T$188</formula>
    </cfRule>
  </conditionalFormatting>
  <conditionalFormatting sqref="G63:M64">
    <cfRule type="cellIs" priority="10" dxfId="0" operator="lessThan" stopIfTrue="1">
      <formula>24</formula>
    </cfRule>
    <cfRule type="cellIs" priority="11" dxfId="4" operator="greaterThanOrEqual" stopIfTrue="1">
      <formula>24</formula>
    </cfRule>
  </conditionalFormatting>
  <conditionalFormatting sqref="G62:M62">
    <cfRule type="cellIs" priority="12" dxfId="0" operator="lessThanOrEqual" stopIfTrue="1">
      <formula>$O$27</formula>
    </cfRule>
    <cfRule type="cellIs" priority="13" dxfId="4" operator="greaterThan" stopIfTrue="1">
      <formula>$O$27</formula>
    </cfRule>
  </conditionalFormatting>
  <conditionalFormatting sqref="G40:M41 G44:M45 G48:M49 G52:M53 G60:M61 G56:M57">
    <cfRule type="cellIs" priority="14" dxfId="0" operator="lessThanOrEqual" stopIfTrue="1">
      <formula>$O$27</formula>
    </cfRule>
    <cfRule type="cellIs" priority="15" dxfId="12" operator="greaterThan" stopIfTrue="1">
      <formula>$O$27</formula>
    </cfRule>
  </conditionalFormatting>
  <conditionalFormatting sqref="G42:M43 G46:M47 G50:M51 G54:M55 G58:M59 G38:M39">
    <cfRule type="cellIs" priority="16" dxfId="0" operator="lessThanOrEqual" stopIfTrue="1">
      <formula>$O$26</formula>
    </cfRule>
    <cfRule type="cellIs" priority="17" dxfId="10" operator="greaterThan" stopIfTrue="1">
      <formula>$O$26</formula>
    </cfRule>
  </conditionalFormatting>
  <conditionalFormatting sqref="G32:M32">
    <cfRule type="cellIs" priority="18" dxfId="4" operator="greaterThan" stopIfTrue="1">
      <formula>$O$17</formula>
    </cfRule>
    <cfRule type="cellIs" priority="19" dxfId="5" operator="lessThanOrEqual" stopIfTrue="1">
      <formula>$O$17</formula>
    </cfRule>
  </conditionalFormatting>
  <conditionalFormatting sqref="B31">
    <cfRule type="cellIs" priority="20" dxfId="4" operator="greaterThan" stopIfTrue="1">
      <formula>$O$19</formula>
    </cfRule>
  </conditionalFormatting>
  <conditionalFormatting sqref="G33:M33">
    <cfRule type="cellIs" priority="21" dxfId="4" operator="greaterThan" stopIfTrue="1">
      <formula>$E$33</formula>
    </cfRule>
  </conditionalFormatting>
  <conditionalFormatting sqref="G34:M34">
    <cfRule type="cellIs" priority="22" dxfId="5" operator="lessThanOrEqual" stopIfTrue="1">
      <formula>20</formula>
    </cfRule>
    <cfRule type="cellIs" priority="23" dxfId="4" operator="between" stopIfTrue="1">
      <formula>50</formula>
      <formula>80</formula>
    </cfRule>
    <cfRule type="cellIs" priority="24" dxfId="3" operator="greaterThan" stopIfTrue="1">
      <formula>80</formula>
    </cfRule>
  </conditionalFormatting>
  <conditionalFormatting sqref="E38 E42 E46 E50 E54 E58">
    <cfRule type="cellIs" priority="25" dxfId="0" operator="greaterThanOrEqual" stopIfTrue="1">
      <formula>$T$26</formula>
    </cfRule>
  </conditionalFormatting>
  <conditionalFormatting sqref="E40 E44 E48 E52 E56 E60 F41 F45 F49 F53 F57 F61">
    <cfRule type="cellIs" priority="26" dxfId="0" operator="greaterThanOrEqual" stopIfTrue="1">
      <formula>$T$27</formula>
    </cfRule>
  </conditionalFormatting>
  <conditionalFormatting sqref="F39 F43 F47 F51 F55 F59">
    <cfRule type="cellIs" priority="27" dxfId="0" operator="greaterThanOrEqual" stopIfTrue="1">
      <formula>$T$26</formula>
    </cfRule>
  </conditionalFormatting>
  <hyperlinks>
    <hyperlink ref="M145" r:id="rId1" display="http://www.solarelectricityhandbook.com/solar-irradiance.aspx"/>
  </hyperlinks>
  <printOptions/>
  <pageMargins left="0.75" right="0.75" top="1" bottom="1" header="0.5" footer="0.5"/>
  <pageSetup orientation="portrait" r:id="rId2"/>
</worksheet>
</file>

<file path=xl/worksheets/sheet2.xml><?xml version="1.0" encoding="utf-8"?>
<worksheet xmlns="http://schemas.openxmlformats.org/spreadsheetml/2006/main" xmlns:r="http://schemas.openxmlformats.org/officeDocument/2006/relationships">
  <sheetPr>
    <tabColor indexed="49"/>
  </sheetPr>
  <dimension ref="A1:X309"/>
  <sheetViews>
    <sheetView zoomScalePageLayoutView="0" workbookViewId="0" topLeftCell="A1">
      <pane ySplit="4" topLeftCell="A5" activePane="bottomLeft" state="frozen"/>
      <selection pane="topLeft" activeCell="A1" sqref="A1"/>
      <selection pane="bottomLeft" activeCell="O14" sqref="O14"/>
    </sheetView>
  </sheetViews>
  <sheetFormatPr defaultColWidth="9.140625" defaultRowHeight="12.75"/>
  <cols>
    <col min="1" max="1" width="19.421875" style="0" customWidth="1"/>
    <col min="2" max="2" width="6.28125" style="0" customWidth="1"/>
    <col min="3" max="3" width="8.140625" style="0" customWidth="1"/>
    <col min="5" max="5" width="7.00390625" style="0" customWidth="1"/>
    <col min="6" max="6" width="7.28125" style="0" customWidth="1"/>
    <col min="7" max="7" width="7.00390625" style="0" customWidth="1"/>
    <col min="14" max="15" width="6.28125" style="0" customWidth="1"/>
    <col min="16" max="16" width="6.57421875" style="0" customWidth="1"/>
    <col min="17" max="17" width="6.8515625" style="0" customWidth="1"/>
    <col min="18" max="18" width="6.140625" style="0" customWidth="1"/>
    <col min="19" max="19" width="10.140625" style="0" customWidth="1"/>
    <col min="20" max="20" width="8.00390625" style="0" customWidth="1"/>
    <col min="21" max="21" width="5.28125" style="0" customWidth="1"/>
  </cols>
  <sheetData>
    <row r="1" spans="1:7" ht="12.75">
      <c r="A1" s="50" t="s">
        <v>676</v>
      </c>
      <c r="G1" s="8" t="s">
        <v>594</v>
      </c>
    </row>
    <row r="2" spans="1:7" ht="12.75">
      <c r="A2" s="20" t="s">
        <v>593</v>
      </c>
      <c r="B2" s="20"/>
      <c r="G2" s="8"/>
    </row>
    <row r="3" spans="1:22" ht="28.5" customHeight="1">
      <c r="A3" s="18" t="s">
        <v>1078</v>
      </c>
      <c r="B3" s="18" t="s">
        <v>1079</v>
      </c>
      <c r="C3" s="18" t="s">
        <v>1043</v>
      </c>
      <c r="D3" s="18" t="s">
        <v>1044</v>
      </c>
      <c r="E3" s="18" t="s">
        <v>1045</v>
      </c>
      <c r="F3" s="18" t="s">
        <v>425</v>
      </c>
      <c r="G3" s="18" t="s">
        <v>274</v>
      </c>
      <c r="H3" s="18" t="s">
        <v>1039</v>
      </c>
      <c r="I3" s="18" t="s">
        <v>1040</v>
      </c>
      <c r="J3" s="18" t="s">
        <v>667</v>
      </c>
      <c r="K3" s="18" t="s">
        <v>967</v>
      </c>
      <c r="L3" s="18" t="s">
        <v>968</v>
      </c>
      <c r="M3" s="18" t="s">
        <v>275</v>
      </c>
      <c r="N3" s="77" t="s">
        <v>1062</v>
      </c>
      <c r="O3" s="58"/>
      <c r="P3" s="58"/>
      <c r="Q3" s="58"/>
      <c r="R3" s="58"/>
      <c r="S3" s="57"/>
      <c r="T3" s="6" t="s">
        <v>277</v>
      </c>
      <c r="U3" s="57"/>
      <c r="V3" s="57"/>
    </row>
    <row r="4" spans="1:20" ht="12.75">
      <c r="A4" s="18" t="s">
        <v>1020</v>
      </c>
      <c r="B4" s="18"/>
      <c r="C4" s="18"/>
      <c r="D4" s="18"/>
      <c r="E4" s="18"/>
      <c r="F4" s="18"/>
      <c r="G4" s="44">
        <v>8</v>
      </c>
      <c r="H4" s="18"/>
      <c r="I4" s="18"/>
      <c r="J4" s="18"/>
      <c r="K4" s="18"/>
      <c r="L4" s="18"/>
      <c r="M4" s="44">
        <v>7</v>
      </c>
      <c r="N4" s="8" t="s">
        <v>688</v>
      </c>
      <c r="O4" s="50" t="s">
        <v>689</v>
      </c>
      <c r="T4" s="82">
        <v>44897</v>
      </c>
    </row>
    <row r="5" spans="1:22" ht="12.75">
      <c r="A5" s="20" t="s">
        <v>402</v>
      </c>
      <c r="C5" s="2">
        <f aca="true" t="shared" si="0" ref="C5:C10">B5/($O$19/100)/12</f>
        <v>0</v>
      </c>
      <c r="D5" s="2">
        <v>5.4</v>
      </c>
      <c r="E5" s="2">
        <f>C5*D5</f>
        <v>0</v>
      </c>
      <c r="F5" s="4">
        <f aca="true" t="shared" si="1" ref="F5:F10">(B5*D5)/($O$19/100)</f>
        <v>0</v>
      </c>
      <c r="G5" s="2">
        <f>J5*(G$4/24)</f>
        <v>0</v>
      </c>
      <c r="H5" s="2">
        <f aca="true" t="shared" si="2" ref="H5:H26">J5*0.5</f>
        <v>0</v>
      </c>
      <c r="I5" s="2">
        <f aca="true" t="shared" si="3" ref="I5:I26">J5*0.67</f>
        <v>0</v>
      </c>
      <c r="J5" s="2">
        <f aca="true" t="shared" si="4" ref="J5:J31">E5*$X$17</f>
        <v>0</v>
      </c>
      <c r="K5" s="2">
        <f aca="true" t="shared" si="5" ref="K5:K26">J5*2</f>
        <v>0</v>
      </c>
      <c r="L5" s="2">
        <f aca="true" t="shared" si="6" ref="L5:L26">J5*3</f>
        <v>0</v>
      </c>
      <c r="M5" s="2">
        <f>J5*M$4</f>
        <v>0</v>
      </c>
      <c r="N5" s="10">
        <f>J5/24</f>
        <v>0</v>
      </c>
      <c r="O5" s="8"/>
      <c r="P5" s="8" t="s">
        <v>686</v>
      </c>
      <c r="U5" s="50" t="s">
        <v>948</v>
      </c>
      <c r="V5" s="60"/>
    </row>
    <row r="6" spans="1:21" ht="12.75">
      <c r="A6" s="27" t="s">
        <v>1109</v>
      </c>
      <c r="B6">
        <v>76</v>
      </c>
      <c r="C6" s="2">
        <f t="shared" si="0"/>
        <v>7.037037037037037</v>
      </c>
      <c r="D6" s="2">
        <v>24</v>
      </c>
      <c r="E6" s="2">
        <f aca="true" t="shared" si="7" ref="E6:E26">C6*D6</f>
        <v>168.88888888888889</v>
      </c>
      <c r="F6" s="4">
        <f t="shared" si="1"/>
        <v>2026.6666666666665</v>
      </c>
      <c r="G6" s="2">
        <f aca="true" t="shared" si="8" ref="G6:G26">J6*(G$4/24)</f>
        <v>112.59259259259258</v>
      </c>
      <c r="H6" s="2">
        <f t="shared" si="2"/>
        <v>168.88888888888889</v>
      </c>
      <c r="I6" s="2">
        <f t="shared" si="3"/>
        <v>226.31111111111113</v>
      </c>
      <c r="J6" s="2">
        <f t="shared" si="4"/>
        <v>337.77777777777777</v>
      </c>
      <c r="K6" s="2">
        <f t="shared" si="5"/>
        <v>675.5555555555555</v>
      </c>
      <c r="L6" s="2">
        <f t="shared" si="6"/>
        <v>1013.3333333333333</v>
      </c>
      <c r="M6" s="2">
        <f aca="true" t="shared" si="9" ref="M6:M26">J6*M$4</f>
        <v>2364.4444444444443</v>
      </c>
      <c r="N6" s="10">
        <f>J6/24</f>
        <v>14.074074074074074</v>
      </c>
      <c r="P6" s="8" t="s">
        <v>687</v>
      </c>
      <c r="U6" s="60">
        <v>0</v>
      </c>
    </row>
    <row r="7" spans="1:23" ht="12.75">
      <c r="A7" t="s">
        <v>300</v>
      </c>
      <c r="C7" s="2">
        <f t="shared" si="0"/>
        <v>0</v>
      </c>
      <c r="D7" s="2">
        <v>24</v>
      </c>
      <c r="E7" s="2">
        <f t="shared" si="7"/>
        <v>0</v>
      </c>
      <c r="F7" s="4">
        <f t="shared" si="1"/>
        <v>0</v>
      </c>
      <c r="G7" s="2">
        <f t="shared" si="8"/>
        <v>0</v>
      </c>
      <c r="H7" s="2">
        <f t="shared" si="2"/>
        <v>0</v>
      </c>
      <c r="I7" s="2">
        <f t="shared" si="3"/>
        <v>0</v>
      </c>
      <c r="J7" s="2">
        <f t="shared" si="4"/>
        <v>0</v>
      </c>
      <c r="K7" s="2">
        <f t="shared" si="5"/>
        <v>0</v>
      </c>
      <c r="L7" s="2">
        <f t="shared" si="6"/>
        <v>0</v>
      </c>
      <c r="M7" s="2">
        <f t="shared" si="9"/>
        <v>0</v>
      </c>
      <c r="N7" s="10">
        <f aca="true" t="shared" si="10" ref="N7:N31">J7/24</f>
        <v>0</v>
      </c>
      <c r="P7" s="8" t="s">
        <v>690</v>
      </c>
      <c r="U7">
        <f>U6*12</f>
        <v>0</v>
      </c>
      <c r="V7" s="50" t="s">
        <v>887</v>
      </c>
      <c r="W7" t="s">
        <v>286</v>
      </c>
    </row>
    <row r="8" spans="1:16" ht="12.75">
      <c r="A8" s="28" t="s">
        <v>857</v>
      </c>
      <c r="B8">
        <v>14</v>
      </c>
      <c r="C8" s="2">
        <f t="shared" si="0"/>
        <v>1.2962962962962963</v>
      </c>
      <c r="D8" s="2">
        <v>24</v>
      </c>
      <c r="E8" s="2">
        <f t="shared" si="7"/>
        <v>31.11111111111111</v>
      </c>
      <c r="F8" s="4">
        <f t="shared" si="1"/>
        <v>373.3333333333333</v>
      </c>
      <c r="G8" s="2">
        <f t="shared" si="8"/>
        <v>20.74074074074074</v>
      </c>
      <c r="H8" s="2">
        <f t="shared" si="2"/>
        <v>31.11111111111111</v>
      </c>
      <c r="I8" s="2">
        <f t="shared" si="3"/>
        <v>41.68888888888889</v>
      </c>
      <c r="J8" s="2">
        <f t="shared" si="4"/>
        <v>62.22222222222222</v>
      </c>
      <c r="K8" s="2">
        <f t="shared" si="5"/>
        <v>124.44444444444444</v>
      </c>
      <c r="L8" s="2">
        <f t="shared" si="6"/>
        <v>186.66666666666666</v>
      </c>
      <c r="M8" s="2">
        <f t="shared" si="9"/>
        <v>435.55555555555554</v>
      </c>
      <c r="N8" s="10">
        <f t="shared" si="10"/>
        <v>2.5925925925925926</v>
      </c>
      <c r="P8" s="8" t="s">
        <v>1105</v>
      </c>
    </row>
    <row r="9" spans="1:16" ht="12.75">
      <c r="A9" t="s">
        <v>891</v>
      </c>
      <c r="B9">
        <v>16</v>
      </c>
      <c r="C9" s="2">
        <f t="shared" si="0"/>
        <v>1.4814814814814816</v>
      </c>
      <c r="D9" s="2">
        <v>24</v>
      </c>
      <c r="E9" s="2">
        <f t="shared" si="7"/>
        <v>35.55555555555556</v>
      </c>
      <c r="F9" s="4">
        <f t="shared" si="1"/>
        <v>426.66666666666663</v>
      </c>
      <c r="G9" s="2">
        <f t="shared" si="8"/>
        <v>23.703703703703702</v>
      </c>
      <c r="H9" s="2">
        <f t="shared" si="2"/>
        <v>35.55555555555556</v>
      </c>
      <c r="I9" s="2">
        <f t="shared" si="3"/>
        <v>47.64444444444445</v>
      </c>
      <c r="J9" s="2">
        <f t="shared" si="4"/>
        <v>71.11111111111111</v>
      </c>
      <c r="K9" s="2">
        <f t="shared" si="5"/>
        <v>142.22222222222223</v>
      </c>
      <c r="L9" s="2">
        <f t="shared" si="6"/>
        <v>213.33333333333334</v>
      </c>
      <c r="M9" s="2">
        <f t="shared" si="9"/>
        <v>497.7777777777778</v>
      </c>
      <c r="N9" s="10">
        <f t="shared" si="10"/>
        <v>2.9629629629629632</v>
      </c>
      <c r="P9" s="8" t="s">
        <v>406</v>
      </c>
    </row>
    <row r="10" spans="1:16" ht="12.75">
      <c r="A10" t="s">
        <v>894</v>
      </c>
      <c r="B10">
        <v>20</v>
      </c>
      <c r="C10" s="2">
        <f t="shared" si="0"/>
        <v>1.8518518518518519</v>
      </c>
      <c r="D10" s="2">
        <v>24</v>
      </c>
      <c r="E10" s="2">
        <f t="shared" si="7"/>
        <v>44.44444444444444</v>
      </c>
      <c r="F10" s="4">
        <f t="shared" si="1"/>
        <v>533.3333333333334</v>
      </c>
      <c r="G10" s="2">
        <f t="shared" si="8"/>
        <v>29.629629629629626</v>
      </c>
      <c r="H10" s="2">
        <f t="shared" si="2"/>
        <v>44.44444444444444</v>
      </c>
      <c r="I10" s="2">
        <f t="shared" si="3"/>
        <v>59.55555555555556</v>
      </c>
      <c r="J10" s="2">
        <f t="shared" si="4"/>
        <v>88.88888888888889</v>
      </c>
      <c r="K10" s="2">
        <f t="shared" si="5"/>
        <v>177.77777777777777</v>
      </c>
      <c r="L10" s="2">
        <f t="shared" si="6"/>
        <v>266.66666666666663</v>
      </c>
      <c r="M10" s="2">
        <f t="shared" si="9"/>
        <v>622.2222222222222</v>
      </c>
      <c r="N10" s="10">
        <f t="shared" si="10"/>
        <v>3.7037037037037037</v>
      </c>
      <c r="P10" s="8" t="s">
        <v>407</v>
      </c>
    </row>
    <row r="11" spans="1:16" ht="12.75">
      <c r="A11" s="28" t="s">
        <v>398</v>
      </c>
      <c r="C11" s="49">
        <f>IF(B32&gt;80,MAX(0,(1-B32/400)*O21),O21)</f>
        <v>0.27920000000000006</v>
      </c>
      <c r="D11" s="2">
        <v>24</v>
      </c>
      <c r="E11" s="2">
        <f t="shared" si="7"/>
        <v>6.700800000000001</v>
      </c>
      <c r="F11" s="4">
        <f>E11*12.6</f>
        <v>84.43008</v>
      </c>
      <c r="G11" s="2">
        <f t="shared" si="8"/>
        <v>4.4672</v>
      </c>
      <c r="H11" s="2">
        <f t="shared" si="2"/>
        <v>6.700800000000001</v>
      </c>
      <c r="I11" s="2">
        <f t="shared" si="3"/>
        <v>8.979072000000002</v>
      </c>
      <c r="J11" s="2">
        <f t="shared" si="4"/>
        <v>13.401600000000002</v>
      </c>
      <c r="K11" s="2">
        <f t="shared" si="5"/>
        <v>26.803200000000004</v>
      </c>
      <c r="L11" s="2">
        <f t="shared" si="6"/>
        <v>40.204800000000006</v>
      </c>
      <c r="M11" s="2">
        <f t="shared" si="9"/>
        <v>93.81120000000001</v>
      </c>
      <c r="N11" s="10">
        <f t="shared" si="10"/>
        <v>0.5584000000000001</v>
      </c>
      <c r="P11" s="8" t="s">
        <v>408</v>
      </c>
    </row>
    <row r="12" spans="1:16" ht="12.75">
      <c r="A12" t="s">
        <v>250</v>
      </c>
      <c r="B12" t="s">
        <v>1084</v>
      </c>
      <c r="C12" s="2"/>
      <c r="D12" s="2">
        <v>24</v>
      </c>
      <c r="E12" s="2">
        <f t="shared" si="7"/>
        <v>0</v>
      </c>
      <c r="F12" s="4">
        <f>IF(B12&lt;&gt;"n/a",((B12*D12)/0.9),E12*12.6)</f>
        <v>0</v>
      </c>
      <c r="G12" s="2">
        <f t="shared" si="8"/>
        <v>0</v>
      </c>
      <c r="H12" s="2">
        <f t="shared" si="2"/>
        <v>0</v>
      </c>
      <c r="I12" s="2">
        <f t="shared" si="3"/>
        <v>0</v>
      </c>
      <c r="J12" s="2">
        <f t="shared" si="4"/>
        <v>0</v>
      </c>
      <c r="K12" s="2">
        <f t="shared" si="5"/>
        <v>0</v>
      </c>
      <c r="L12" s="2">
        <f t="shared" si="6"/>
        <v>0</v>
      </c>
      <c r="M12" s="2">
        <f t="shared" si="9"/>
        <v>0</v>
      </c>
      <c r="N12" s="10">
        <f t="shared" si="10"/>
        <v>0</v>
      </c>
      <c r="P12" s="8" t="s">
        <v>691</v>
      </c>
    </row>
    <row r="13" spans="1:18" ht="12.75">
      <c r="A13" s="27" t="s">
        <v>859</v>
      </c>
      <c r="B13">
        <v>16</v>
      </c>
      <c r="C13" s="2">
        <f aca="true" t="shared" si="11" ref="C13:C28">B13/($O$19/100)/12</f>
        <v>1.4814814814814816</v>
      </c>
      <c r="D13" s="2">
        <v>4</v>
      </c>
      <c r="E13" s="2">
        <f t="shared" si="7"/>
        <v>5.9259259259259265</v>
      </c>
      <c r="F13" s="4">
        <f aca="true" t="shared" si="12" ref="F13:F26">(B13*D13)/($O$19/100)</f>
        <v>71.11111111111111</v>
      </c>
      <c r="G13" s="2">
        <f t="shared" si="8"/>
        <v>3.9506172839506175</v>
      </c>
      <c r="H13" s="2">
        <f t="shared" si="2"/>
        <v>5.9259259259259265</v>
      </c>
      <c r="I13" s="2">
        <f t="shared" si="3"/>
        <v>7.9407407407407415</v>
      </c>
      <c r="J13" s="2">
        <f t="shared" si="4"/>
        <v>11.851851851851853</v>
      </c>
      <c r="K13" s="2">
        <f t="shared" si="5"/>
        <v>23.703703703703706</v>
      </c>
      <c r="L13" s="2">
        <f t="shared" si="6"/>
        <v>35.55555555555556</v>
      </c>
      <c r="M13" s="2">
        <f t="shared" si="9"/>
        <v>82.96296296296298</v>
      </c>
      <c r="N13" s="10">
        <f t="shared" si="10"/>
        <v>0.4938271604938272</v>
      </c>
      <c r="O13" t="s">
        <v>409</v>
      </c>
      <c r="R13" s="8"/>
    </row>
    <row r="14" spans="1:16" ht="12.75">
      <c r="A14" t="s">
        <v>1119</v>
      </c>
      <c r="B14">
        <v>100</v>
      </c>
      <c r="C14" s="2">
        <f t="shared" si="11"/>
        <v>9.25925925925926</v>
      </c>
      <c r="D14" s="2">
        <v>4</v>
      </c>
      <c r="E14" s="2">
        <f t="shared" si="7"/>
        <v>37.03703703703704</v>
      </c>
      <c r="F14" s="4">
        <f t="shared" si="12"/>
        <v>444.44444444444446</v>
      </c>
      <c r="G14" s="2">
        <f t="shared" si="8"/>
        <v>24.691358024691358</v>
      </c>
      <c r="H14" s="2">
        <f t="shared" si="2"/>
        <v>37.03703703703704</v>
      </c>
      <c r="I14" s="2">
        <f t="shared" si="3"/>
        <v>49.62962962962963</v>
      </c>
      <c r="J14" s="2">
        <f t="shared" si="4"/>
        <v>74.07407407407408</v>
      </c>
      <c r="K14" s="2">
        <f t="shared" si="5"/>
        <v>148.14814814814815</v>
      </c>
      <c r="L14" s="2">
        <f t="shared" si="6"/>
        <v>222.22222222222223</v>
      </c>
      <c r="M14" s="2">
        <f t="shared" si="9"/>
        <v>518.5185185185185</v>
      </c>
      <c r="N14" s="10">
        <f t="shared" si="10"/>
        <v>3.0864197530864197</v>
      </c>
      <c r="P14" s="8" t="s">
        <v>27</v>
      </c>
    </row>
    <row r="15" spans="1:16" ht="12.75">
      <c r="A15" s="27" t="s">
        <v>168</v>
      </c>
      <c r="B15">
        <v>9</v>
      </c>
      <c r="C15" s="2">
        <f t="shared" si="11"/>
        <v>0.8333333333333334</v>
      </c>
      <c r="D15" s="2">
        <v>6</v>
      </c>
      <c r="E15" s="2">
        <f t="shared" si="7"/>
        <v>5</v>
      </c>
      <c r="F15" s="4">
        <f t="shared" si="12"/>
        <v>60</v>
      </c>
      <c r="G15" s="2">
        <f t="shared" si="8"/>
        <v>3.333333333333333</v>
      </c>
      <c r="H15" s="2">
        <f t="shared" si="2"/>
        <v>5</v>
      </c>
      <c r="I15" s="2">
        <f t="shared" si="3"/>
        <v>6.7</v>
      </c>
      <c r="J15" s="2">
        <f t="shared" si="4"/>
        <v>10</v>
      </c>
      <c r="K15" s="2">
        <f t="shared" si="5"/>
        <v>20</v>
      </c>
      <c r="L15" s="2">
        <f t="shared" si="6"/>
        <v>30</v>
      </c>
      <c r="M15" s="2">
        <f t="shared" si="9"/>
        <v>70</v>
      </c>
      <c r="N15" s="10">
        <f t="shared" si="10"/>
        <v>0.4166666666666667</v>
      </c>
      <c r="P15" s="8" t="s">
        <v>294</v>
      </c>
    </row>
    <row r="16" spans="1:16" ht="12.75">
      <c r="A16" s="27" t="s">
        <v>169</v>
      </c>
      <c r="B16">
        <v>1.4</v>
      </c>
      <c r="C16" s="2">
        <f t="shared" si="11"/>
        <v>0.12962962962962962</v>
      </c>
      <c r="D16" s="2">
        <v>24</v>
      </c>
      <c r="E16" s="2">
        <f t="shared" si="7"/>
        <v>3.1111111111111107</v>
      </c>
      <c r="F16" s="4">
        <f t="shared" si="12"/>
        <v>37.33333333333333</v>
      </c>
      <c r="G16" s="2">
        <f t="shared" si="8"/>
        <v>2.0740740740740735</v>
      </c>
      <c r="H16" s="2">
        <f t="shared" si="2"/>
        <v>3.1111111111111107</v>
      </c>
      <c r="I16" s="2">
        <f t="shared" si="3"/>
        <v>4.168888888888889</v>
      </c>
      <c r="J16" s="2">
        <f t="shared" si="4"/>
        <v>6.222222222222221</v>
      </c>
      <c r="K16" s="2">
        <f t="shared" si="5"/>
        <v>12.444444444444443</v>
      </c>
      <c r="L16" s="2">
        <f t="shared" si="6"/>
        <v>18.666666666666664</v>
      </c>
      <c r="M16" s="2">
        <f t="shared" si="9"/>
        <v>43.55555555555555</v>
      </c>
      <c r="N16" s="10">
        <f t="shared" si="10"/>
        <v>0.25925925925925924</v>
      </c>
      <c r="P16" s="8" t="s">
        <v>298</v>
      </c>
    </row>
    <row r="17" spans="1:24" ht="12.75">
      <c r="A17" t="s">
        <v>58</v>
      </c>
      <c r="C17" s="2">
        <f t="shared" si="11"/>
        <v>0</v>
      </c>
      <c r="D17" s="2">
        <v>24</v>
      </c>
      <c r="E17" s="2">
        <f t="shared" si="7"/>
        <v>0</v>
      </c>
      <c r="F17" s="4">
        <f t="shared" si="12"/>
        <v>0</v>
      </c>
      <c r="G17" s="2">
        <f t="shared" si="8"/>
        <v>0</v>
      </c>
      <c r="H17" s="2">
        <f t="shared" si="2"/>
        <v>0</v>
      </c>
      <c r="I17" s="2">
        <f t="shared" si="3"/>
        <v>0</v>
      </c>
      <c r="J17" s="2">
        <f t="shared" si="4"/>
        <v>0</v>
      </c>
      <c r="K17" s="2">
        <f t="shared" si="5"/>
        <v>0</v>
      </c>
      <c r="L17" s="2">
        <f t="shared" si="6"/>
        <v>0</v>
      </c>
      <c r="M17" s="2">
        <f t="shared" si="9"/>
        <v>0</v>
      </c>
      <c r="N17" s="10">
        <f t="shared" si="10"/>
        <v>0</v>
      </c>
      <c r="O17" s="50">
        <v>50</v>
      </c>
      <c r="P17" s="8" t="s">
        <v>343</v>
      </c>
      <c r="T17" s="8" t="s">
        <v>700</v>
      </c>
      <c r="V17" s="71">
        <f>V18*W17</f>
        <v>2520</v>
      </c>
      <c r="W17">
        <f>O17/100</f>
        <v>0.5</v>
      </c>
      <c r="X17">
        <f>1/W17</f>
        <v>2</v>
      </c>
    </row>
    <row r="18" spans="1:22" ht="12.75">
      <c r="A18" t="s">
        <v>1102</v>
      </c>
      <c r="C18" s="2">
        <f t="shared" si="11"/>
        <v>0</v>
      </c>
      <c r="D18" s="2">
        <v>0.5</v>
      </c>
      <c r="E18" s="2">
        <f t="shared" si="7"/>
        <v>0</v>
      </c>
      <c r="F18" s="4">
        <f t="shared" si="12"/>
        <v>0</v>
      </c>
      <c r="G18" s="2">
        <f t="shared" si="8"/>
        <v>0</v>
      </c>
      <c r="H18" s="2">
        <f t="shared" si="2"/>
        <v>0</v>
      </c>
      <c r="I18" s="2">
        <f t="shared" si="3"/>
        <v>0</v>
      </c>
      <c r="J18" s="2">
        <f t="shared" si="4"/>
        <v>0</v>
      </c>
      <c r="K18" s="2">
        <f t="shared" si="5"/>
        <v>0</v>
      </c>
      <c r="L18" s="2">
        <f t="shared" si="6"/>
        <v>0</v>
      </c>
      <c r="M18" s="2">
        <f t="shared" si="9"/>
        <v>0</v>
      </c>
      <c r="N18" s="10">
        <f t="shared" si="10"/>
        <v>0</v>
      </c>
      <c r="O18" s="13">
        <v>420</v>
      </c>
      <c r="P18" s="12" t="s">
        <v>34</v>
      </c>
      <c r="T18" s="8"/>
      <c r="U18" s="6" t="s">
        <v>45</v>
      </c>
      <c r="V18" s="71">
        <f>O18*12</f>
        <v>5040</v>
      </c>
    </row>
    <row r="19" spans="1:22" ht="12.75">
      <c r="A19" t="s">
        <v>60</v>
      </c>
      <c r="C19" s="2">
        <f t="shared" si="11"/>
        <v>0</v>
      </c>
      <c r="D19" s="2">
        <v>24</v>
      </c>
      <c r="E19" s="2">
        <f t="shared" si="7"/>
        <v>0</v>
      </c>
      <c r="F19" s="4">
        <f t="shared" si="12"/>
        <v>0</v>
      </c>
      <c r="G19" s="2">
        <f t="shared" si="8"/>
        <v>0</v>
      </c>
      <c r="H19" s="2">
        <f t="shared" si="2"/>
        <v>0</v>
      </c>
      <c r="I19" s="2">
        <f t="shared" si="3"/>
        <v>0</v>
      </c>
      <c r="J19" s="2">
        <f t="shared" si="4"/>
        <v>0</v>
      </c>
      <c r="K19" s="2">
        <f t="shared" si="5"/>
        <v>0</v>
      </c>
      <c r="L19" s="2">
        <f t="shared" si="6"/>
        <v>0</v>
      </c>
      <c r="M19" s="2">
        <f t="shared" si="9"/>
        <v>0</v>
      </c>
      <c r="N19" s="10">
        <f t="shared" si="10"/>
        <v>0</v>
      </c>
      <c r="O19" s="13">
        <v>90</v>
      </c>
      <c r="P19" s="12" t="s">
        <v>35</v>
      </c>
      <c r="V19" s="71"/>
    </row>
    <row r="20" spans="1:20" ht="12.75">
      <c r="A20" t="s">
        <v>1103</v>
      </c>
      <c r="C20" s="2">
        <f t="shared" si="11"/>
        <v>0</v>
      </c>
      <c r="D20" s="2">
        <v>0.1</v>
      </c>
      <c r="E20" s="2">
        <f t="shared" si="7"/>
        <v>0</v>
      </c>
      <c r="F20" s="4">
        <f t="shared" si="12"/>
        <v>0</v>
      </c>
      <c r="G20" s="2">
        <f t="shared" si="8"/>
        <v>0</v>
      </c>
      <c r="H20" s="2">
        <f t="shared" si="2"/>
        <v>0</v>
      </c>
      <c r="I20" s="2">
        <f t="shared" si="3"/>
        <v>0</v>
      </c>
      <c r="J20" s="2">
        <f t="shared" si="4"/>
        <v>0</v>
      </c>
      <c r="K20" s="2">
        <f t="shared" si="5"/>
        <v>0</v>
      </c>
      <c r="L20" s="2">
        <f t="shared" si="6"/>
        <v>0</v>
      </c>
      <c r="M20" s="2">
        <f t="shared" si="9"/>
        <v>0</v>
      </c>
      <c r="N20" s="10">
        <f t="shared" si="10"/>
        <v>0</v>
      </c>
      <c r="O20" s="13">
        <v>2000</v>
      </c>
      <c r="P20" s="8" t="s">
        <v>36</v>
      </c>
      <c r="T20" t="s">
        <v>699</v>
      </c>
    </row>
    <row r="21" spans="1:16" ht="12.75">
      <c r="A21" t="s">
        <v>693</v>
      </c>
      <c r="C21" s="2">
        <f t="shared" si="11"/>
        <v>0</v>
      </c>
      <c r="D21" s="2">
        <v>24</v>
      </c>
      <c r="E21" s="2">
        <f t="shared" si="7"/>
        <v>0</v>
      </c>
      <c r="F21" s="4">
        <f t="shared" si="12"/>
        <v>0</v>
      </c>
      <c r="G21" s="2">
        <f t="shared" si="8"/>
        <v>0</v>
      </c>
      <c r="H21" s="2">
        <f t="shared" si="2"/>
        <v>0</v>
      </c>
      <c r="I21" s="2">
        <f t="shared" si="3"/>
        <v>0</v>
      </c>
      <c r="J21" s="2">
        <f t="shared" si="4"/>
        <v>0</v>
      </c>
      <c r="K21" s="2">
        <f t="shared" si="5"/>
        <v>0</v>
      </c>
      <c r="L21" s="2">
        <f t="shared" si="6"/>
        <v>0</v>
      </c>
      <c r="M21" s="2">
        <f t="shared" si="9"/>
        <v>0</v>
      </c>
      <c r="N21" s="10">
        <f t="shared" si="10"/>
        <v>0</v>
      </c>
      <c r="O21" s="62">
        <v>0.8</v>
      </c>
      <c r="P21" s="8" t="s">
        <v>37</v>
      </c>
    </row>
    <row r="22" spans="1:21" ht="12.75">
      <c r="A22" t="s">
        <v>833</v>
      </c>
      <c r="C22" s="2">
        <f t="shared" si="11"/>
        <v>0</v>
      </c>
      <c r="D22" s="2">
        <f>(U32*((U31-U33)*2))/100</f>
        <v>2.52</v>
      </c>
      <c r="E22" s="2">
        <f t="shared" si="7"/>
        <v>0</v>
      </c>
      <c r="F22" s="4">
        <f t="shared" si="12"/>
        <v>0</v>
      </c>
      <c r="G22" s="2">
        <f t="shared" si="8"/>
        <v>0</v>
      </c>
      <c r="H22" s="2">
        <f t="shared" si="2"/>
        <v>0</v>
      </c>
      <c r="I22" s="2">
        <f t="shared" si="3"/>
        <v>0</v>
      </c>
      <c r="J22" s="2">
        <f t="shared" si="4"/>
        <v>0</v>
      </c>
      <c r="K22" s="2">
        <f t="shared" si="5"/>
        <v>0</v>
      </c>
      <c r="L22" s="2">
        <f t="shared" si="6"/>
        <v>0</v>
      </c>
      <c r="M22" s="2">
        <f t="shared" si="9"/>
        <v>0</v>
      </c>
      <c r="N22" s="10">
        <f t="shared" si="10"/>
        <v>0</v>
      </c>
      <c r="O22" s="7">
        <f>IF(J34=0,99,O18/(100/O17)/J34)</f>
        <v>0.6190009311870093</v>
      </c>
      <c r="P22" s="6" t="s">
        <v>247</v>
      </c>
      <c r="U22" t="s">
        <v>1130</v>
      </c>
    </row>
    <row r="23" spans="1:22" ht="12.75">
      <c r="A23" s="27" t="s">
        <v>1146</v>
      </c>
      <c r="B23">
        <v>8</v>
      </c>
      <c r="C23" s="2">
        <f t="shared" si="11"/>
        <v>0.7407407407407408</v>
      </c>
      <c r="D23" s="2">
        <v>2</v>
      </c>
      <c r="E23" s="2">
        <f t="shared" si="7"/>
        <v>1.4814814814814816</v>
      </c>
      <c r="F23" s="4">
        <f t="shared" si="12"/>
        <v>17.77777777777778</v>
      </c>
      <c r="G23" s="2">
        <f t="shared" si="8"/>
        <v>0.9876543209876544</v>
      </c>
      <c r="H23" s="2">
        <f t="shared" si="2"/>
        <v>1.4814814814814816</v>
      </c>
      <c r="I23" s="2">
        <f t="shared" si="3"/>
        <v>1.9851851851851854</v>
      </c>
      <c r="J23" s="2">
        <f t="shared" si="4"/>
        <v>2.9629629629629632</v>
      </c>
      <c r="K23" s="2">
        <f t="shared" si="5"/>
        <v>5.9259259259259265</v>
      </c>
      <c r="L23" s="2">
        <f t="shared" si="6"/>
        <v>8.88888888888889</v>
      </c>
      <c r="M23" s="2">
        <f t="shared" si="9"/>
        <v>20.740740740740744</v>
      </c>
      <c r="N23" s="10">
        <f t="shared" si="10"/>
        <v>0.1234567901234568</v>
      </c>
      <c r="O23" s="5">
        <f>O22*24</f>
        <v>14.856022348488223</v>
      </c>
      <c r="P23" s="6" t="s">
        <v>26</v>
      </c>
      <c r="U23">
        <f>O23*60</f>
        <v>891.3613409092934</v>
      </c>
      <c r="V23" t="s">
        <v>684</v>
      </c>
    </row>
    <row r="24" spans="1:22" ht="12.75">
      <c r="A24" t="s">
        <v>162</v>
      </c>
      <c r="C24" s="2">
        <f t="shared" si="11"/>
        <v>0</v>
      </c>
      <c r="D24" s="2">
        <v>24</v>
      </c>
      <c r="E24" s="2">
        <f t="shared" si="7"/>
        <v>0</v>
      </c>
      <c r="F24" s="4">
        <f t="shared" si="12"/>
        <v>0</v>
      </c>
      <c r="G24" s="2">
        <f t="shared" si="8"/>
        <v>0</v>
      </c>
      <c r="H24" s="2">
        <f t="shared" si="2"/>
        <v>0</v>
      </c>
      <c r="I24" s="2">
        <f t="shared" si="3"/>
        <v>0</v>
      </c>
      <c r="J24" s="2">
        <f t="shared" si="4"/>
        <v>0</v>
      </c>
      <c r="K24" s="2">
        <f t="shared" si="5"/>
        <v>0</v>
      </c>
      <c r="L24" s="2">
        <f t="shared" si="6"/>
        <v>0</v>
      </c>
      <c r="M24" s="2">
        <f t="shared" si="9"/>
        <v>0</v>
      </c>
      <c r="N24" s="10">
        <f t="shared" si="10"/>
        <v>0</v>
      </c>
      <c r="O24" s="5">
        <f>J64</f>
        <v>5.741261401709402</v>
      </c>
      <c r="P24" s="6" t="s">
        <v>901</v>
      </c>
      <c r="U24" s="81">
        <f>O23+O24</f>
        <v>20.597283750197626</v>
      </c>
      <c r="V24" t="s">
        <v>1142</v>
      </c>
    </row>
    <row r="25" spans="1:21" ht="12.75">
      <c r="A25" t="s">
        <v>164</v>
      </c>
      <c r="C25" s="2">
        <f t="shared" si="11"/>
        <v>0</v>
      </c>
      <c r="D25" s="2">
        <v>0.1</v>
      </c>
      <c r="E25" s="2">
        <f t="shared" si="7"/>
        <v>0</v>
      </c>
      <c r="F25" s="4">
        <f t="shared" si="12"/>
        <v>0</v>
      </c>
      <c r="G25" s="2">
        <f t="shared" si="8"/>
        <v>0</v>
      </c>
      <c r="H25" s="2">
        <f t="shared" si="2"/>
        <v>0</v>
      </c>
      <c r="I25" s="2">
        <f t="shared" si="3"/>
        <v>0</v>
      </c>
      <c r="J25" s="2">
        <f t="shared" si="4"/>
        <v>0</v>
      </c>
      <c r="K25" s="2">
        <f t="shared" si="5"/>
        <v>0</v>
      </c>
      <c r="L25" s="2">
        <f t="shared" si="6"/>
        <v>0</v>
      </c>
      <c r="M25" s="2">
        <f t="shared" si="9"/>
        <v>0</v>
      </c>
      <c r="N25" s="10">
        <f t="shared" si="10"/>
        <v>0</v>
      </c>
      <c r="P25" s="6" t="s">
        <v>902</v>
      </c>
      <c r="U25" s="79"/>
    </row>
    <row r="26" spans="1:21" ht="12.75">
      <c r="A26" t="s">
        <v>1037</v>
      </c>
      <c r="C26" s="2">
        <f t="shared" si="11"/>
        <v>0</v>
      </c>
      <c r="D26" s="2">
        <v>24</v>
      </c>
      <c r="E26" s="2">
        <f t="shared" si="7"/>
        <v>0</v>
      </c>
      <c r="F26" s="4">
        <f t="shared" si="12"/>
        <v>0</v>
      </c>
      <c r="G26" s="2">
        <f t="shared" si="8"/>
        <v>0</v>
      </c>
      <c r="H26" s="2">
        <f t="shared" si="2"/>
        <v>0</v>
      </c>
      <c r="I26" s="2">
        <f t="shared" si="3"/>
        <v>0</v>
      </c>
      <c r="J26" s="2">
        <f t="shared" si="4"/>
        <v>0</v>
      </c>
      <c r="K26" s="2">
        <f t="shared" si="5"/>
        <v>0</v>
      </c>
      <c r="L26" s="2">
        <f t="shared" si="6"/>
        <v>0</v>
      </c>
      <c r="M26" s="2">
        <f t="shared" si="9"/>
        <v>0</v>
      </c>
      <c r="N26" s="10">
        <f t="shared" si="10"/>
        <v>0</v>
      </c>
      <c r="P26" s="6" t="s">
        <v>101</v>
      </c>
      <c r="T26" s="8" t="s">
        <v>1096</v>
      </c>
      <c r="U26" s="8"/>
    </row>
    <row r="27" spans="1:23" ht="12.75">
      <c r="A27" s="36" t="s">
        <v>832</v>
      </c>
      <c r="B27" t="s">
        <v>1084</v>
      </c>
      <c r="C27" s="2"/>
      <c r="D27" s="2">
        <v>8</v>
      </c>
      <c r="E27" s="2">
        <f>C27*D27</f>
        <v>0</v>
      </c>
      <c r="F27" s="4">
        <f>IF(B27&lt;&gt;"n/a",((B27*D27)/0.9),E27*12.6)</f>
        <v>0</v>
      </c>
      <c r="G27" s="2">
        <f>J27*(G$4/24)</f>
        <v>0</v>
      </c>
      <c r="H27" s="2">
        <f>J27*0.5</f>
        <v>0</v>
      </c>
      <c r="I27" s="2">
        <f>J27*0.67</f>
        <v>0</v>
      </c>
      <c r="J27" s="2">
        <f t="shared" si="4"/>
        <v>0</v>
      </c>
      <c r="K27" s="2">
        <f>J27*2</f>
        <v>0</v>
      </c>
      <c r="L27" s="2">
        <f>J27*3</f>
        <v>0</v>
      </c>
      <c r="M27" s="2">
        <f>J27*M$4</f>
        <v>0</v>
      </c>
      <c r="N27" s="10">
        <f t="shared" si="10"/>
        <v>0</v>
      </c>
      <c r="O27" s="50">
        <v>3</v>
      </c>
      <c r="P27" s="6" t="s">
        <v>99</v>
      </c>
      <c r="R27" s="8" t="s">
        <v>283</v>
      </c>
      <c r="S27" s="8"/>
      <c r="T27" s="70">
        <f>$F$32/$O$27/0.67</f>
        <v>2027.4113167495857</v>
      </c>
      <c r="U27" s="8" t="s">
        <v>284</v>
      </c>
      <c r="V27" s="8" t="s">
        <v>926</v>
      </c>
      <c r="W27" s="8" t="s">
        <v>1072</v>
      </c>
    </row>
    <row r="28" spans="1:21" ht="12.75">
      <c r="A28" s="2" t="s">
        <v>1046</v>
      </c>
      <c r="C28" s="2">
        <f t="shared" si="11"/>
        <v>0</v>
      </c>
      <c r="D28" s="2">
        <v>2</v>
      </c>
      <c r="E28" s="2">
        <f>C28*D28</f>
        <v>0</v>
      </c>
      <c r="F28" s="4">
        <f>IF(B28&lt;&gt;"n/a",((B28*D28)/0.9),E28*12.6)</f>
        <v>0</v>
      </c>
      <c r="G28" s="2">
        <f>J28*(G$4/24)</f>
        <v>0</v>
      </c>
      <c r="H28" s="2">
        <f>J28*0.5</f>
        <v>0</v>
      </c>
      <c r="I28" s="2">
        <f>J28*0.67</f>
        <v>0</v>
      </c>
      <c r="J28" s="2">
        <f t="shared" si="4"/>
        <v>0</v>
      </c>
      <c r="K28" s="2">
        <f>J28*2</f>
        <v>0</v>
      </c>
      <c r="L28" s="2">
        <f>J28*3</f>
        <v>0</v>
      </c>
      <c r="M28" s="2">
        <f>J28*M$4</f>
        <v>0</v>
      </c>
      <c r="N28" s="10">
        <f t="shared" si="10"/>
        <v>0</v>
      </c>
      <c r="O28" s="50">
        <v>5</v>
      </c>
      <c r="P28" s="6" t="s">
        <v>100</v>
      </c>
      <c r="R28" s="8" t="s">
        <v>283</v>
      </c>
      <c r="S28" s="8"/>
      <c r="T28" s="70">
        <f>$F$32/$O$28/0.67</f>
        <v>1216.4467900497511</v>
      </c>
      <c r="U28" s="8" t="s">
        <v>284</v>
      </c>
    </row>
    <row r="29" spans="1:15" ht="12.75">
      <c r="A29" t="s">
        <v>1012</v>
      </c>
      <c r="C29" s="2">
        <f>B29/($O$19/100)/12</f>
        <v>0</v>
      </c>
      <c r="D29" s="2">
        <v>8</v>
      </c>
      <c r="E29" s="2">
        <f>C29*D29</f>
        <v>0</v>
      </c>
      <c r="F29" s="4">
        <f>(B29*D29)/($O$19/100)</f>
        <v>0</v>
      </c>
      <c r="G29" s="2">
        <f>J29*(G$4/24)</f>
        <v>0</v>
      </c>
      <c r="H29" s="2">
        <f>J29*0.5</f>
        <v>0</v>
      </c>
      <c r="I29" s="2">
        <f>J29*0.67</f>
        <v>0</v>
      </c>
      <c r="J29" s="2">
        <f t="shared" si="4"/>
        <v>0</v>
      </c>
      <c r="K29" s="2">
        <f>J29*2</f>
        <v>0</v>
      </c>
      <c r="L29" s="2">
        <f>J29*3</f>
        <v>0</v>
      </c>
      <c r="M29" s="2">
        <f>J29*M$4</f>
        <v>0</v>
      </c>
      <c r="N29" s="10">
        <f t="shared" si="10"/>
        <v>0</v>
      </c>
      <c r="O29" t="s">
        <v>68</v>
      </c>
    </row>
    <row r="30" spans="1:14" ht="12.75">
      <c r="A30" t="s">
        <v>1137</v>
      </c>
      <c r="B30" t="s">
        <v>1084</v>
      </c>
      <c r="C30" s="2"/>
      <c r="D30" s="2">
        <v>24</v>
      </c>
      <c r="E30" s="2">
        <f>C30*D30</f>
        <v>0</v>
      </c>
      <c r="F30" s="4">
        <f>IF(B30&lt;&gt;"n/a",((B30*D30)/0.9),E30*12.6)</f>
        <v>0</v>
      </c>
      <c r="G30" s="2">
        <f>J30*(G$4/24)</f>
        <v>0</v>
      </c>
      <c r="H30" s="2">
        <f>J30*0.5</f>
        <v>0</v>
      </c>
      <c r="I30" s="2">
        <f>J30*0.67</f>
        <v>0</v>
      </c>
      <c r="J30" s="2">
        <f t="shared" si="4"/>
        <v>0</v>
      </c>
      <c r="K30" s="2">
        <f>J30*2</f>
        <v>0</v>
      </c>
      <c r="L30" s="2">
        <f>J30*3</f>
        <v>0</v>
      </c>
      <c r="M30" s="2">
        <f>J30*M$4</f>
        <v>0</v>
      </c>
      <c r="N30" s="10">
        <f t="shared" si="10"/>
        <v>0</v>
      </c>
    </row>
    <row r="31" spans="1:21" ht="12.75">
      <c r="A31" t="s">
        <v>858</v>
      </c>
      <c r="C31" s="2">
        <f>B31/($O$19/100)/12</f>
        <v>0</v>
      </c>
      <c r="D31" s="2">
        <v>0.2</v>
      </c>
      <c r="E31" s="2">
        <f>C31*D31</f>
        <v>0</v>
      </c>
      <c r="F31" s="4">
        <f>(B31*D31)/($O$19/100)</f>
        <v>0</v>
      </c>
      <c r="G31" s="2">
        <f>J31*(G$4/24)</f>
        <v>0</v>
      </c>
      <c r="H31" s="2">
        <f>J31*0.5</f>
        <v>0</v>
      </c>
      <c r="I31" s="2">
        <f>J31*0.67</f>
        <v>0</v>
      </c>
      <c r="J31" s="2">
        <f t="shared" si="4"/>
        <v>0</v>
      </c>
      <c r="K31" s="2">
        <f>J31*2</f>
        <v>0</v>
      </c>
      <c r="L31" s="2">
        <f>J31*3</f>
        <v>0</v>
      </c>
      <c r="M31" s="2">
        <f>J31*M$4</f>
        <v>0</v>
      </c>
      <c r="N31" s="10">
        <f t="shared" si="10"/>
        <v>0</v>
      </c>
      <c r="P31" s="6" t="s">
        <v>445</v>
      </c>
      <c r="T31" t="s">
        <v>598</v>
      </c>
      <c r="U31" s="50">
        <v>68</v>
      </c>
    </row>
    <row r="32" spans="1:21" ht="12.75">
      <c r="A32" s="8" t="s">
        <v>611</v>
      </c>
      <c r="B32" s="10">
        <f>SUM(B5:B31)</f>
        <v>260.4</v>
      </c>
      <c r="C32" s="2">
        <f>SUM(C5:C31)</f>
        <v>24.39031111111111</v>
      </c>
      <c r="D32" s="2"/>
      <c r="E32" s="2">
        <f>SUM(E5:E31)</f>
        <v>339.25635555555556</v>
      </c>
      <c r="F32" s="4">
        <f>SUM(F5:F31)</f>
        <v>4075.096746666667</v>
      </c>
      <c r="G32" s="45">
        <f>G4</f>
        <v>8</v>
      </c>
      <c r="H32" s="2" t="s">
        <v>355</v>
      </c>
      <c r="I32" s="2" t="s">
        <v>356</v>
      </c>
      <c r="J32" s="42" t="s">
        <v>357</v>
      </c>
      <c r="K32" s="2" t="s">
        <v>358</v>
      </c>
      <c r="L32" s="2" t="s">
        <v>359</v>
      </c>
      <c r="M32" s="10">
        <f>M4</f>
        <v>7</v>
      </c>
      <c r="N32" s="2" t="s">
        <v>1026</v>
      </c>
      <c r="O32" s="2" t="s">
        <v>921</v>
      </c>
      <c r="P32" s="6" t="s">
        <v>719</v>
      </c>
      <c r="U32" s="50">
        <v>6</v>
      </c>
    </row>
    <row r="33" spans="1:21" ht="12.75">
      <c r="A33" t="s">
        <v>614</v>
      </c>
      <c r="C33" t="s">
        <v>458</v>
      </c>
      <c r="D33" t="s">
        <v>278</v>
      </c>
      <c r="G33" s="2">
        <f>MAX(0,((SUM(G5:G31)/2)-($U$6*0.333))*2)</f>
        <v>226.17090370370366</v>
      </c>
      <c r="H33" s="2">
        <f>MAX(0,((SUM(H5:H31)/2)-($U$6*0.5))*2)</f>
        <v>339.25635555555556</v>
      </c>
      <c r="I33" s="2">
        <f>MAX(0,((SUM(I5:I31)/2)-($U$6*0.667))*2)</f>
        <v>454.60351644444444</v>
      </c>
      <c r="J33" s="2">
        <f>MAX(0,((SUM(J5:J31)/2)-($U$6))*2)</f>
        <v>678.5127111111111</v>
      </c>
      <c r="K33" s="2">
        <f>MAX(0,(((SUM(K5:K31)/2)-($U$6)*2)*2))</f>
        <v>1357.0254222222222</v>
      </c>
      <c r="L33" s="2">
        <f>MAX(0,(((SUM(L5:L31)/2)-($U$6)*3)*2))</f>
        <v>2035.5381333333335</v>
      </c>
      <c r="M33" s="2">
        <f>MAX(0,((SUM(M5:M31)/2)-($U$6*M4))*2)</f>
        <v>4749.5889777777775</v>
      </c>
      <c r="N33" s="86" t="s">
        <v>253</v>
      </c>
      <c r="O33">
        <f>J34*12</f>
        <v>4071.076266666667</v>
      </c>
      <c r="P33" s="6" t="s">
        <v>443</v>
      </c>
      <c r="U33" s="50">
        <v>47</v>
      </c>
    </row>
    <row r="34" spans="1:16" ht="12.75">
      <c r="A34" t="s">
        <v>10</v>
      </c>
      <c r="C34" s="75" t="s">
        <v>712</v>
      </c>
      <c r="D34" t="s">
        <v>1074</v>
      </c>
      <c r="E34">
        <f>O18/X17</f>
        <v>210</v>
      </c>
      <c r="F34" t="s">
        <v>1122</v>
      </c>
      <c r="G34" s="2">
        <f aca="true" t="shared" si="13" ref="G34:M34">G33/(100/$O$17)</f>
        <v>113.08545185185183</v>
      </c>
      <c r="H34" s="2">
        <f t="shared" si="13"/>
        <v>169.62817777777778</v>
      </c>
      <c r="I34" s="2">
        <f t="shared" si="13"/>
        <v>227.30175822222222</v>
      </c>
      <c r="J34" s="2">
        <f t="shared" si="13"/>
        <v>339.25635555555556</v>
      </c>
      <c r="K34" s="2">
        <f t="shared" si="13"/>
        <v>678.5127111111111</v>
      </c>
      <c r="L34" s="2">
        <f t="shared" si="13"/>
        <v>1017.7690666666667</v>
      </c>
      <c r="M34" s="2">
        <f t="shared" si="13"/>
        <v>2374.7944888888887</v>
      </c>
      <c r="P34" s="6" t="s">
        <v>444</v>
      </c>
    </row>
    <row r="35" spans="1:16" ht="12.75">
      <c r="A35" t="s">
        <v>142</v>
      </c>
      <c r="C35" s="75" t="s">
        <v>713</v>
      </c>
      <c r="D35" t="s">
        <v>810</v>
      </c>
      <c r="G35" s="2">
        <f>G34/$O$18*100</f>
        <v>26.925107583774242</v>
      </c>
      <c r="H35" s="2">
        <f aca="true" t="shared" si="14" ref="H35:M35">H34/$O$18*100</f>
        <v>40.387661375661374</v>
      </c>
      <c r="I35" s="2">
        <f t="shared" si="14"/>
        <v>54.11946624338624</v>
      </c>
      <c r="J35" s="2">
        <f t="shared" si="14"/>
        <v>80.77532275132275</v>
      </c>
      <c r="K35" s="2">
        <f t="shared" si="14"/>
        <v>161.5506455026455</v>
      </c>
      <c r="L35" s="2">
        <f t="shared" si="14"/>
        <v>242.32596825396828</v>
      </c>
      <c r="M35" s="2">
        <f t="shared" si="14"/>
        <v>565.4272592592592</v>
      </c>
      <c r="N35" s="47"/>
      <c r="P35" s="6" t="s">
        <v>448</v>
      </c>
    </row>
    <row r="36" spans="1:19" ht="12.75">
      <c r="A36" t="s">
        <v>12</v>
      </c>
      <c r="C36" s="75" t="s">
        <v>714</v>
      </c>
      <c r="D36" t="s">
        <v>215</v>
      </c>
      <c r="E36" s="22"/>
      <c r="F36" s="4"/>
      <c r="G36" s="2">
        <f>G34*1.1</f>
        <v>124.39399703703702</v>
      </c>
      <c r="H36" s="2">
        <f aca="true" t="shared" si="15" ref="H36:M36">H34*1.1</f>
        <v>186.59099555555557</v>
      </c>
      <c r="I36" s="2">
        <f t="shared" si="15"/>
        <v>250.03193404444445</v>
      </c>
      <c r="J36" s="2">
        <f t="shared" si="15"/>
        <v>373.18199111111113</v>
      </c>
      <c r="K36" s="2">
        <f t="shared" si="15"/>
        <v>746.3639822222223</v>
      </c>
      <c r="L36" s="2">
        <f t="shared" si="15"/>
        <v>1119.5459733333334</v>
      </c>
      <c r="M36" s="2">
        <f t="shared" si="15"/>
        <v>2612.273937777778</v>
      </c>
      <c r="N36" s="2">
        <f>J36*O22</f>
        <v>231</v>
      </c>
      <c r="P36" s="6" t="s">
        <v>446</v>
      </c>
      <c r="S36" s="60" t="s">
        <v>1069</v>
      </c>
    </row>
    <row r="37" spans="6:16" ht="12.75">
      <c r="F37" s="4"/>
      <c r="G37" s="2"/>
      <c r="H37" s="2"/>
      <c r="I37" s="2"/>
      <c r="J37" s="2"/>
      <c r="K37" s="2"/>
      <c r="L37" s="2"/>
      <c r="M37" s="2"/>
      <c r="N37" t="s">
        <v>214</v>
      </c>
      <c r="P37" s="80" t="s">
        <v>1070</v>
      </c>
    </row>
    <row r="38" spans="1:19" ht="12.75">
      <c r="A38" s="24" t="s">
        <v>495</v>
      </c>
      <c r="C38" t="s">
        <v>414</v>
      </c>
      <c r="E38" s="53" t="s">
        <v>656</v>
      </c>
      <c r="F38" s="54" t="s">
        <v>651</v>
      </c>
      <c r="G38" s="2" t="s">
        <v>213</v>
      </c>
      <c r="H38" s="2"/>
      <c r="I38" s="25"/>
      <c r="J38" s="52"/>
      <c r="K38" s="2"/>
      <c r="L38" s="2"/>
      <c r="M38" s="2"/>
      <c r="N38" s="73">
        <f>O23</f>
        <v>14.856022348488223</v>
      </c>
      <c r="O38" s="8" t="s">
        <v>564</v>
      </c>
      <c r="P38" s="8" t="s">
        <v>651</v>
      </c>
      <c r="Q38" s="56" t="s">
        <v>809</v>
      </c>
      <c r="R38" s="56" t="s">
        <v>887</v>
      </c>
      <c r="S38" t="s">
        <v>618</v>
      </c>
    </row>
    <row r="39" spans="1:18" ht="12.75">
      <c r="A39" t="s">
        <v>496</v>
      </c>
      <c r="C39" t="s">
        <v>373</v>
      </c>
      <c r="E39">
        <v>500</v>
      </c>
      <c r="G39" s="2">
        <f>G36/$O$39</f>
        <v>3.5936043588477364</v>
      </c>
      <c r="H39" s="2">
        <f>H36/O39</f>
        <v>5.3904065382716055</v>
      </c>
      <c r="I39" s="2">
        <f>I36/O39</f>
        <v>7.223144761283951</v>
      </c>
      <c r="J39" s="2">
        <f>J36/O39</f>
        <v>10.780813076543211</v>
      </c>
      <c r="K39" s="2">
        <f aca="true" t="shared" si="16" ref="K39:K64">J39*2</f>
        <v>21.561626153086422</v>
      </c>
      <c r="L39" s="2">
        <f aca="true" t="shared" si="17" ref="L39:L64">J39*3</f>
        <v>32.34243922962963</v>
      </c>
      <c r="M39" s="2">
        <f aca="true" t="shared" si="18" ref="M39:M61">J39*4</f>
        <v>43.123252306172844</v>
      </c>
      <c r="N39" s="2">
        <f>$N$36/$O39</f>
        <v>6.673333333333334</v>
      </c>
      <c r="O39" s="2">
        <f>E39/13*0.9</f>
        <v>34.61538461538461</v>
      </c>
      <c r="Q39" s="10">
        <f>O39*O27</f>
        <v>103.84615384615384</v>
      </c>
      <c r="R39" s="4">
        <f>Q39*12</f>
        <v>1246.1538461538462</v>
      </c>
    </row>
    <row r="40" spans="1:18" ht="12.75">
      <c r="A40" t="s">
        <v>652</v>
      </c>
      <c r="F40" s="4">
        <f>E39*0.726</f>
        <v>363</v>
      </c>
      <c r="G40" s="2">
        <f>G$36/$P40</f>
        <v>4.949868262875669</v>
      </c>
      <c r="H40" s="2">
        <f>H$36/$P40</f>
        <v>7.424802394313505</v>
      </c>
      <c r="I40" s="2">
        <f>I$36/$P40</f>
        <v>9.949235208380097</v>
      </c>
      <c r="J40" s="2">
        <f>J$36/$P40</f>
        <v>14.84960478862701</v>
      </c>
      <c r="K40" s="2">
        <f t="shared" si="16"/>
        <v>29.69920957725402</v>
      </c>
      <c r="L40" s="2">
        <f>J40*3</f>
        <v>44.54881436588103</v>
      </c>
      <c r="M40" s="2">
        <f>J40*4</f>
        <v>59.39841915450804</v>
      </c>
      <c r="N40" s="2">
        <f>$N$36/$P40</f>
        <v>9.191919191919192</v>
      </c>
      <c r="P40" s="2">
        <f>F40/13*0.9</f>
        <v>25.130769230769232</v>
      </c>
      <c r="Q40" s="10">
        <f>P40*O27</f>
        <v>75.3923076923077</v>
      </c>
      <c r="R40" s="4">
        <f aca="true" t="shared" si="19" ref="R40:R62">Q40*12</f>
        <v>904.7076923076924</v>
      </c>
    </row>
    <row r="41" spans="1:18" ht="12.75">
      <c r="A41" t="s">
        <v>987</v>
      </c>
      <c r="C41" t="s">
        <v>399</v>
      </c>
      <c r="E41">
        <v>500</v>
      </c>
      <c r="G41" s="2">
        <f>G$36/O41</f>
        <v>3.5936043588477364</v>
      </c>
      <c r="H41" s="2">
        <f>H36/O41</f>
        <v>5.3904065382716055</v>
      </c>
      <c r="I41" s="2">
        <f>I36/O41</f>
        <v>7.223144761283951</v>
      </c>
      <c r="J41" s="2">
        <f>J36/O41</f>
        <v>10.780813076543211</v>
      </c>
      <c r="K41" s="2">
        <f t="shared" si="16"/>
        <v>21.561626153086422</v>
      </c>
      <c r="L41" s="2">
        <f t="shared" si="17"/>
        <v>32.34243922962963</v>
      </c>
      <c r="M41" s="2">
        <f t="shared" si="18"/>
        <v>43.123252306172844</v>
      </c>
      <c r="N41" s="2">
        <f>$N$36/$O41</f>
        <v>6.673333333333334</v>
      </c>
      <c r="O41" s="2">
        <f>E41/13*0.9</f>
        <v>34.61538461538461</v>
      </c>
      <c r="Q41" s="10">
        <f>O41*O28</f>
        <v>173.07692307692307</v>
      </c>
      <c r="R41" s="4">
        <f t="shared" si="19"/>
        <v>2076.9230769230767</v>
      </c>
    </row>
    <row r="42" spans="1:18" ht="12.75">
      <c r="A42" t="s">
        <v>654</v>
      </c>
      <c r="F42" s="4">
        <f>E41*0.726</f>
        <v>363</v>
      </c>
      <c r="G42" s="2">
        <f>G$36/$P42</f>
        <v>4.949868262875669</v>
      </c>
      <c r="H42" s="2">
        <f>H$36/$P42</f>
        <v>7.424802394313505</v>
      </c>
      <c r="I42" s="2">
        <f>I$36/$P42</f>
        <v>9.949235208380097</v>
      </c>
      <c r="J42" s="2">
        <f>J$36/$P42</f>
        <v>14.84960478862701</v>
      </c>
      <c r="K42" s="2">
        <f t="shared" si="16"/>
        <v>29.69920957725402</v>
      </c>
      <c r="L42" s="2">
        <f>J42*3</f>
        <v>44.54881436588103</v>
      </c>
      <c r="M42" s="2">
        <f>J42*4</f>
        <v>59.39841915450804</v>
      </c>
      <c r="N42" s="2">
        <f>$N$36/$P42</f>
        <v>9.191919191919192</v>
      </c>
      <c r="P42" s="2">
        <f>F42/13*0.9</f>
        <v>25.130769230769232</v>
      </c>
      <c r="Q42" s="10">
        <f>P42*O28</f>
        <v>125.65384615384616</v>
      </c>
      <c r="R42" s="4">
        <f t="shared" si="19"/>
        <v>1507.8461538461538</v>
      </c>
    </row>
    <row r="43" spans="1:18" ht="12.75">
      <c r="A43" t="s">
        <v>988</v>
      </c>
      <c r="C43" t="s">
        <v>373</v>
      </c>
      <c r="E43">
        <v>610</v>
      </c>
      <c r="G43" s="2">
        <f>G36/O43</f>
        <v>2.945577343317817</v>
      </c>
      <c r="H43" s="2">
        <f>H36/O43</f>
        <v>4.418366014976726</v>
      </c>
      <c r="I43" s="2">
        <f>I36/O43</f>
        <v>5.920610460068813</v>
      </c>
      <c r="J43" s="2">
        <f>J36/O43</f>
        <v>8.836732029953453</v>
      </c>
      <c r="K43" s="2">
        <f t="shared" si="16"/>
        <v>17.673464059906905</v>
      </c>
      <c r="L43" s="2">
        <f t="shared" si="17"/>
        <v>26.510196089860358</v>
      </c>
      <c r="M43" s="2">
        <f t="shared" si="18"/>
        <v>35.34692811981381</v>
      </c>
      <c r="N43" s="2">
        <f>$N$36/$O43</f>
        <v>5.469945355191258</v>
      </c>
      <c r="O43" s="2">
        <f aca="true" t="shared" si="20" ref="O43:O61">E43/13*0.9</f>
        <v>42.230769230769226</v>
      </c>
      <c r="Q43" s="10">
        <f>O43*O27</f>
        <v>126.69230769230768</v>
      </c>
      <c r="R43" s="4">
        <f t="shared" si="19"/>
        <v>1520.3076923076922</v>
      </c>
    </row>
    <row r="44" spans="6:18" ht="12.75">
      <c r="F44" s="4">
        <f>E43*0.726</f>
        <v>442.86</v>
      </c>
      <c r="G44" s="2">
        <f>G$36/$P44</f>
        <v>4.057269067930877</v>
      </c>
      <c r="H44" s="2">
        <f>H$36/$P44</f>
        <v>6.085903601896317</v>
      </c>
      <c r="I44" s="2">
        <f>I$36/$P44</f>
        <v>8.155110826541064</v>
      </c>
      <c r="J44" s="2">
        <f>J$36/$P44</f>
        <v>12.171807203792634</v>
      </c>
      <c r="K44" s="2">
        <f t="shared" si="16"/>
        <v>24.343614407585267</v>
      </c>
      <c r="L44" s="2">
        <f t="shared" si="17"/>
        <v>36.5154216113779</v>
      </c>
      <c r="M44" s="2">
        <f t="shared" si="18"/>
        <v>48.687228815170535</v>
      </c>
      <c r="N44" s="2">
        <f>$N$36/$P44</f>
        <v>7.534359993376387</v>
      </c>
      <c r="P44" s="2">
        <f>F44/13*0.9</f>
        <v>30.65953846153846</v>
      </c>
      <c r="Q44" s="10">
        <f>P44*O27</f>
        <v>91.97861538461538</v>
      </c>
      <c r="R44" s="4">
        <f t="shared" si="19"/>
        <v>1103.7433846153845</v>
      </c>
    </row>
    <row r="45" spans="1:18" ht="12.75">
      <c r="A45" t="s">
        <v>551</v>
      </c>
      <c r="C45" t="s">
        <v>399</v>
      </c>
      <c r="E45">
        <v>610</v>
      </c>
      <c r="G45" s="2">
        <f>G36/O45</f>
        <v>2.945577343317817</v>
      </c>
      <c r="H45" s="2">
        <f>H36/O45</f>
        <v>4.418366014976726</v>
      </c>
      <c r="I45" s="2">
        <f>I36/O45</f>
        <v>5.920610460068813</v>
      </c>
      <c r="J45" s="2">
        <f>J36/O45</f>
        <v>8.836732029953453</v>
      </c>
      <c r="K45" s="2">
        <f t="shared" si="16"/>
        <v>17.673464059906905</v>
      </c>
      <c r="L45" s="2">
        <f t="shared" si="17"/>
        <v>26.510196089860358</v>
      </c>
      <c r="M45" s="2">
        <f t="shared" si="18"/>
        <v>35.34692811981381</v>
      </c>
      <c r="N45" s="2">
        <f>$N$36/$O45</f>
        <v>5.469945355191258</v>
      </c>
      <c r="O45" s="2">
        <f t="shared" si="20"/>
        <v>42.230769230769226</v>
      </c>
      <c r="Q45" s="10">
        <f>O45*O28</f>
        <v>211.15384615384613</v>
      </c>
      <c r="R45" s="4">
        <f t="shared" si="19"/>
        <v>2533.8461538461534</v>
      </c>
    </row>
    <row r="46" spans="2:18" ht="12.75">
      <c r="B46" s="37"/>
      <c r="F46" s="4">
        <f>E45*0.726</f>
        <v>442.86</v>
      </c>
      <c r="G46" s="2">
        <f>G$36/$P46</f>
        <v>4.057269067930877</v>
      </c>
      <c r="H46" s="2">
        <f>H$36/$P46</f>
        <v>6.085903601896317</v>
      </c>
      <c r="I46" s="2">
        <f>I$36/$P46</f>
        <v>8.155110826541064</v>
      </c>
      <c r="J46" s="2">
        <f>J$36/$P46</f>
        <v>12.171807203792634</v>
      </c>
      <c r="K46" s="2">
        <f t="shared" si="16"/>
        <v>24.343614407585267</v>
      </c>
      <c r="L46" s="2">
        <f>J46*3</f>
        <v>36.5154216113779</v>
      </c>
      <c r="M46" s="2">
        <f>J46*4</f>
        <v>48.687228815170535</v>
      </c>
      <c r="N46" s="2">
        <f>$N$36/$P46</f>
        <v>7.534359993376387</v>
      </c>
      <c r="P46" s="2">
        <f>F46/13*0.9</f>
        <v>30.65953846153846</v>
      </c>
      <c r="Q46" s="10">
        <f>P46*O28</f>
        <v>153.2976923076923</v>
      </c>
      <c r="R46" s="4">
        <f t="shared" si="19"/>
        <v>1839.5723076923077</v>
      </c>
    </row>
    <row r="47" spans="1:20" ht="12.75">
      <c r="A47" t="s">
        <v>179</v>
      </c>
      <c r="B47" s="38"/>
      <c r="C47" t="s">
        <v>373</v>
      </c>
      <c r="E47">
        <v>1110</v>
      </c>
      <c r="G47" s="2">
        <f>G36/O47</f>
        <v>1.6187407021836648</v>
      </c>
      <c r="H47" s="2">
        <f>H36/O47</f>
        <v>2.4281110532754977</v>
      </c>
      <c r="I47" s="2">
        <f>I36/O47</f>
        <v>3.2536688113891667</v>
      </c>
      <c r="J47" s="2">
        <f>J36/O47</f>
        <v>4.856222106550995</v>
      </c>
      <c r="K47" s="2">
        <f t="shared" si="16"/>
        <v>9.71244421310199</v>
      </c>
      <c r="L47" s="2">
        <f t="shared" si="17"/>
        <v>14.568666319652987</v>
      </c>
      <c r="M47" s="2">
        <f t="shared" si="18"/>
        <v>19.42488842620398</v>
      </c>
      <c r="N47" s="2">
        <f>$N$36/$O47</f>
        <v>3.0060060060060056</v>
      </c>
      <c r="O47" s="2">
        <f t="shared" si="20"/>
        <v>76.84615384615385</v>
      </c>
      <c r="Q47" s="10">
        <f>O47*O27</f>
        <v>230.53846153846155</v>
      </c>
      <c r="R47" s="4">
        <f t="shared" si="19"/>
        <v>2766.4615384615386</v>
      </c>
      <c r="S47" t="s">
        <v>954</v>
      </c>
      <c r="T47" t="s">
        <v>955</v>
      </c>
    </row>
    <row r="48" spans="1:20" ht="12.75">
      <c r="A48" t="s">
        <v>180</v>
      </c>
      <c r="B48" s="38"/>
      <c r="F48" s="4">
        <f>E47*0.726</f>
        <v>805.86</v>
      </c>
      <c r="G48" s="2">
        <f>G$36/$P48</f>
        <v>2.229670388682734</v>
      </c>
      <c r="H48" s="2">
        <f>H$36/$P48</f>
        <v>3.3445055830241013</v>
      </c>
      <c r="I48" s="2">
        <f>I$36/$P48</f>
        <v>4.481637481252296</v>
      </c>
      <c r="J48" s="2">
        <f>J$36/$P48</f>
        <v>6.689011166048203</v>
      </c>
      <c r="K48" s="2">
        <f t="shared" si="16"/>
        <v>13.378022332096405</v>
      </c>
      <c r="L48" s="2">
        <f>J48*3</f>
        <v>20.067033498144607</v>
      </c>
      <c r="M48" s="2">
        <f>J48*4</f>
        <v>26.75604466419281</v>
      </c>
      <c r="N48" s="2">
        <f>$N$36/$P48</f>
        <v>4.14050414050414</v>
      </c>
      <c r="O48" s="2"/>
      <c r="P48" s="2">
        <f>F48/13*0.9</f>
        <v>55.7903076923077</v>
      </c>
      <c r="Q48" s="10">
        <f>P48*O27</f>
        <v>167.3709230769231</v>
      </c>
      <c r="R48" s="4">
        <f t="shared" si="19"/>
        <v>2008.4510769230774</v>
      </c>
      <c r="S48">
        <f>G36/8</f>
        <v>15.549249629629628</v>
      </c>
      <c r="T48">
        <f>G48/8</f>
        <v>0.27870879858534175</v>
      </c>
    </row>
    <row r="49" spans="1:18" ht="12.75">
      <c r="A49" t="s">
        <v>299</v>
      </c>
      <c r="B49" s="37"/>
      <c r="C49" t="s">
        <v>399</v>
      </c>
      <c r="E49">
        <v>1110</v>
      </c>
      <c r="G49" s="2">
        <f>G36/O49</f>
        <v>1.6187407021836648</v>
      </c>
      <c r="H49" s="2">
        <f>H36/O49</f>
        <v>2.4281110532754977</v>
      </c>
      <c r="I49" s="2">
        <f>I36/O49</f>
        <v>3.2536688113891667</v>
      </c>
      <c r="J49" s="2">
        <f>J36/O49</f>
        <v>4.856222106550995</v>
      </c>
      <c r="K49" s="2">
        <f t="shared" si="16"/>
        <v>9.71244421310199</v>
      </c>
      <c r="L49" s="2">
        <f t="shared" si="17"/>
        <v>14.568666319652987</v>
      </c>
      <c r="M49" s="2">
        <f t="shared" si="18"/>
        <v>19.42488842620398</v>
      </c>
      <c r="N49" s="2">
        <f>$N$36/$O49</f>
        <v>3.0060060060060056</v>
      </c>
      <c r="O49" s="2">
        <f t="shared" si="20"/>
        <v>76.84615384615385</v>
      </c>
      <c r="Q49" s="10">
        <f>O49*O28</f>
        <v>384.2307692307693</v>
      </c>
      <c r="R49" s="4">
        <f t="shared" si="19"/>
        <v>4610.769230769231</v>
      </c>
    </row>
    <row r="50" spans="1:20" ht="12.75">
      <c r="A50" t="s">
        <v>178</v>
      </c>
      <c r="F50" s="4">
        <f>E49*0.726</f>
        <v>805.86</v>
      </c>
      <c r="G50" s="2">
        <f>G$36/$P50</f>
        <v>2.229670388682734</v>
      </c>
      <c r="H50" s="2">
        <f>H$36/$P50</f>
        <v>3.3445055830241013</v>
      </c>
      <c r="I50" s="2">
        <f>I$36/$P50</f>
        <v>4.481637481252296</v>
      </c>
      <c r="J50" s="2">
        <f>J$36/$P50</f>
        <v>6.689011166048203</v>
      </c>
      <c r="K50" s="2">
        <f t="shared" si="16"/>
        <v>13.378022332096405</v>
      </c>
      <c r="L50" s="2">
        <f>J50*3</f>
        <v>20.067033498144607</v>
      </c>
      <c r="M50" s="2">
        <f>J50*4</f>
        <v>26.75604466419281</v>
      </c>
      <c r="N50" s="2">
        <f>$N$36/$P50</f>
        <v>4.14050414050414</v>
      </c>
      <c r="O50" s="2"/>
      <c r="P50" s="2">
        <f>F50/13*0.9</f>
        <v>55.7903076923077</v>
      </c>
      <c r="Q50" s="10">
        <f>P50*O28</f>
        <v>278.9515384615385</v>
      </c>
      <c r="R50" s="4">
        <f t="shared" si="19"/>
        <v>3347.418461538462</v>
      </c>
      <c r="T50" t="s">
        <v>194</v>
      </c>
    </row>
    <row r="51" spans="1:20" ht="12.75">
      <c r="A51" t="s">
        <v>181</v>
      </c>
      <c r="B51" s="19"/>
      <c r="C51" t="s">
        <v>373</v>
      </c>
      <c r="E51">
        <v>1510</v>
      </c>
      <c r="G51" s="2">
        <f>G36/O51</f>
        <v>1.189935218161502</v>
      </c>
      <c r="H51" s="2">
        <f>H36/O51</f>
        <v>1.7849028272422531</v>
      </c>
      <c r="I51" s="2">
        <f>I36/O51</f>
        <v>2.3917697885046194</v>
      </c>
      <c r="J51" s="2">
        <f>J36/O51</f>
        <v>3.5698056544845063</v>
      </c>
      <c r="K51" s="2">
        <f t="shared" si="16"/>
        <v>7.1396113089690125</v>
      </c>
      <c r="L51" s="2">
        <f t="shared" si="17"/>
        <v>10.709416963453519</v>
      </c>
      <c r="M51" s="2">
        <f t="shared" si="18"/>
        <v>14.279222617938025</v>
      </c>
      <c r="N51" s="2">
        <f>$N$36/$O51</f>
        <v>2.2097130242825607</v>
      </c>
      <c r="O51" s="2">
        <f t="shared" si="20"/>
        <v>104.53846153846155</v>
      </c>
      <c r="Q51" s="10">
        <f>O51*O27</f>
        <v>313.61538461538464</v>
      </c>
      <c r="R51" s="4">
        <f t="shared" si="19"/>
        <v>3763.3846153846157</v>
      </c>
      <c r="T51" t="s">
        <v>604</v>
      </c>
    </row>
    <row r="52" spans="1:20" ht="12.75">
      <c r="A52" t="s">
        <v>334</v>
      </c>
      <c r="B52" s="19"/>
      <c r="C52" s="3"/>
      <c r="F52" s="4">
        <f>E51*0.726</f>
        <v>1096.26</v>
      </c>
      <c r="G52" s="2">
        <f>G$36/$P52</f>
        <v>1.6390292261177715</v>
      </c>
      <c r="H52" s="2">
        <f>H$36/$P52</f>
        <v>2.4585438391766576</v>
      </c>
      <c r="I52" s="2">
        <f>I$36/$P52</f>
        <v>3.294448744496721</v>
      </c>
      <c r="J52" s="2">
        <f>J$36/$P52</f>
        <v>4.917087678353315</v>
      </c>
      <c r="K52" s="2">
        <f t="shared" si="16"/>
        <v>9.83417535670663</v>
      </c>
      <c r="L52" s="2">
        <f>J52*3</f>
        <v>14.751263035059946</v>
      </c>
      <c r="M52" s="2">
        <f>J52*4</f>
        <v>19.66835071341326</v>
      </c>
      <c r="N52" s="2">
        <f>$N$36/$P52</f>
        <v>3.0436818516288713</v>
      </c>
      <c r="P52" s="2">
        <f>F52/13*0.9</f>
        <v>75.89492307692308</v>
      </c>
      <c r="Q52" s="10">
        <f>P52*O27</f>
        <v>227.68476923076923</v>
      </c>
      <c r="R52" s="4">
        <f t="shared" si="19"/>
        <v>2732.217230769231</v>
      </c>
      <c r="T52" t="s">
        <v>196</v>
      </c>
    </row>
    <row r="53" spans="1:20" ht="12.75">
      <c r="A53" t="s">
        <v>371</v>
      </c>
      <c r="B53" s="19"/>
      <c r="C53" t="s">
        <v>399</v>
      </c>
      <c r="E53">
        <v>1510</v>
      </c>
      <c r="F53" s="10"/>
      <c r="G53" s="2">
        <f>G36/O53</f>
        <v>1.189935218161502</v>
      </c>
      <c r="H53" s="2">
        <f>H36/O53</f>
        <v>1.7849028272422531</v>
      </c>
      <c r="I53" s="2">
        <f>I36/O53</f>
        <v>2.3917697885046194</v>
      </c>
      <c r="J53" s="2">
        <f>J36/O53</f>
        <v>3.5698056544845063</v>
      </c>
      <c r="K53" s="2">
        <f t="shared" si="16"/>
        <v>7.1396113089690125</v>
      </c>
      <c r="L53" s="2">
        <f t="shared" si="17"/>
        <v>10.709416963453519</v>
      </c>
      <c r="M53" s="2">
        <f t="shared" si="18"/>
        <v>14.279222617938025</v>
      </c>
      <c r="N53" s="2">
        <f>$N$36/$O53</f>
        <v>2.2097130242825607</v>
      </c>
      <c r="O53" s="2">
        <f t="shared" si="20"/>
        <v>104.53846153846155</v>
      </c>
      <c r="Q53" s="10">
        <f>O53*O28</f>
        <v>522.6923076923077</v>
      </c>
      <c r="R53" s="4">
        <f t="shared" si="19"/>
        <v>6272.307692307693</v>
      </c>
      <c r="T53" t="s">
        <v>602</v>
      </c>
    </row>
    <row r="54" spans="2:20" ht="12.75">
      <c r="B54" s="19"/>
      <c r="F54" s="4">
        <f>E53*0.726</f>
        <v>1096.26</v>
      </c>
      <c r="G54" s="2">
        <f>G$36/$P54</f>
        <v>1.6390292261177715</v>
      </c>
      <c r="H54" s="2">
        <f>H$36/$P54</f>
        <v>2.4585438391766576</v>
      </c>
      <c r="I54" s="2">
        <f>I$36/$P54</f>
        <v>3.294448744496721</v>
      </c>
      <c r="J54" s="2">
        <f>J$36/$P54</f>
        <v>4.917087678353315</v>
      </c>
      <c r="K54" s="2">
        <f t="shared" si="16"/>
        <v>9.83417535670663</v>
      </c>
      <c r="L54" s="2">
        <f>J54*3</f>
        <v>14.751263035059946</v>
      </c>
      <c r="M54" s="2">
        <f>J54*4</f>
        <v>19.66835071341326</v>
      </c>
      <c r="N54" s="2">
        <f>$N$36/$P54</f>
        <v>3.0436818516288713</v>
      </c>
      <c r="P54" s="2">
        <f>F54/13*0.9</f>
        <v>75.89492307692308</v>
      </c>
      <c r="Q54" s="10">
        <f>P54*O28</f>
        <v>379.4746153846154</v>
      </c>
      <c r="R54" s="4">
        <f t="shared" si="19"/>
        <v>4553.695384615385</v>
      </c>
      <c r="T54" t="s">
        <v>190</v>
      </c>
    </row>
    <row r="55" spans="1:20" ht="12.75">
      <c r="A55" s="24" t="s">
        <v>552</v>
      </c>
      <c r="C55" t="s">
        <v>373</v>
      </c>
      <c r="E55">
        <v>1810</v>
      </c>
      <c r="G55" s="2">
        <f>G36/O55</f>
        <v>0.9927083864220266</v>
      </c>
      <c r="H55" s="2">
        <f>H36/O55</f>
        <v>1.4890625796330401</v>
      </c>
      <c r="I55" s="2">
        <f>I36/O55</f>
        <v>1.9953438567082737</v>
      </c>
      <c r="J55" s="2">
        <f>J36/O55</f>
        <v>2.9781251592660802</v>
      </c>
      <c r="K55" s="2">
        <f t="shared" si="16"/>
        <v>5.9562503185321605</v>
      </c>
      <c r="L55" s="2">
        <f t="shared" si="17"/>
        <v>8.934375477798241</v>
      </c>
      <c r="M55" s="2">
        <f t="shared" si="18"/>
        <v>11.912500637064321</v>
      </c>
      <c r="N55" s="2">
        <f>$N$36/$O55</f>
        <v>1.843462246777164</v>
      </c>
      <c r="O55" s="2">
        <f t="shared" si="20"/>
        <v>125.3076923076923</v>
      </c>
      <c r="Q55" s="10">
        <f>O55*O27</f>
        <v>375.9230769230769</v>
      </c>
      <c r="R55" s="4">
        <f t="shared" si="19"/>
        <v>4511.076923076923</v>
      </c>
      <c r="T55" t="s">
        <v>191</v>
      </c>
    </row>
    <row r="56" spans="1:20" ht="12.75">
      <c r="A56" t="s">
        <v>553</v>
      </c>
      <c r="C56" s="3"/>
      <c r="F56" s="4">
        <f>E55*0.726</f>
        <v>1314.06</v>
      </c>
      <c r="G56" s="2">
        <f>G$36/$P56</f>
        <v>1.3673669234463175</v>
      </c>
      <c r="H56" s="2">
        <f>H$36/$P56</f>
        <v>2.051050385169477</v>
      </c>
      <c r="I56" s="2">
        <f>I$36/$P56</f>
        <v>2.7484075161270987</v>
      </c>
      <c r="J56" s="2">
        <f>J$36/$P56</f>
        <v>4.102100770338954</v>
      </c>
      <c r="K56" s="2">
        <f t="shared" si="16"/>
        <v>8.204201540677907</v>
      </c>
      <c r="L56" s="2">
        <f>J56*3</f>
        <v>12.30630231101686</v>
      </c>
      <c r="M56" s="2">
        <f>J56*4</f>
        <v>16.408403081355814</v>
      </c>
      <c r="N56" s="2">
        <f>$N$36/$P56</f>
        <v>2.53920419666276</v>
      </c>
      <c r="P56" s="2">
        <f>F56/13*0.9</f>
        <v>90.97338461538462</v>
      </c>
      <c r="Q56" s="10">
        <f>P56*O27</f>
        <v>272.9201538461539</v>
      </c>
      <c r="R56" s="4">
        <f t="shared" si="19"/>
        <v>3275.0418461538466</v>
      </c>
      <c r="T56" t="s">
        <v>192</v>
      </c>
    </row>
    <row r="57" spans="1:20" ht="12.75">
      <c r="A57" t="s">
        <v>554</v>
      </c>
      <c r="C57" t="s">
        <v>399</v>
      </c>
      <c r="E57">
        <v>1810</v>
      </c>
      <c r="G57" s="2">
        <f>G36/O57</f>
        <v>0.9927083864220266</v>
      </c>
      <c r="H57" s="2">
        <f>H36/O57</f>
        <v>1.4890625796330401</v>
      </c>
      <c r="I57" s="2">
        <f>I36/O57</f>
        <v>1.9953438567082737</v>
      </c>
      <c r="J57" s="2">
        <f>J36/O57</f>
        <v>2.9781251592660802</v>
      </c>
      <c r="K57" s="2">
        <f t="shared" si="16"/>
        <v>5.9562503185321605</v>
      </c>
      <c r="L57" s="2">
        <f t="shared" si="17"/>
        <v>8.934375477798241</v>
      </c>
      <c r="M57" s="2">
        <f t="shared" si="18"/>
        <v>11.912500637064321</v>
      </c>
      <c r="N57" s="2">
        <f>$N$36/$O57</f>
        <v>1.843462246777164</v>
      </c>
      <c r="O57" s="2">
        <f t="shared" si="20"/>
        <v>125.3076923076923</v>
      </c>
      <c r="Q57" s="10">
        <f>O57*O28</f>
        <v>626.5384615384615</v>
      </c>
      <c r="R57" s="4">
        <f t="shared" si="19"/>
        <v>7518.461538461539</v>
      </c>
      <c r="T57" t="s">
        <v>603</v>
      </c>
    </row>
    <row r="58" spans="1:20" ht="12.75">
      <c r="A58" t="s">
        <v>555</v>
      </c>
      <c r="F58" s="4">
        <f>E57*0.726</f>
        <v>1314.06</v>
      </c>
      <c r="G58" s="2">
        <f>G$36/$P58</f>
        <v>1.3673669234463175</v>
      </c>
      <c r="H58" s="2">
        <f>H$36/$P58</f>
        <v>2.051050385169477</v>
      </c>
      <c r="I58" s="2">
        <f>I$36/$P58</f>
        <v>2.7484075161270987</v>
      </c>
      <c r="J58" s="2">
        <f>J$36/$P58</f>
        <v>4.102100770338954</v>
      </c>
      <c r="K58" s="2">
        <f t="shared" si="16"/>
        <v>8.204201540677907</v>
      </c>
      <c r="L58" s="2">
        <f>J58*3</f>
        <v>12.30630231101686</v>
      </c>
      <c r="M58" s="2">
        <f>J58*4</f>
        <v>16.408403081355814</v>
      </c>
      <c r="N58" s="2">
        <f>$N$36/$P58</f>
        <v>2.53920419666276</v>
      </c>
      <c r="P58" s="2">
        <f>F58/13*0.9</f>
        <v>90.97338461538462</v>
      </c>
      <c r="Q58" s="10">
        <f>P58*O28</f>
        <v>454.86692307692306</v>
      </c>
      <c r="R58" s="4">
        <f t="shared" si="19"/>
        <v>5458.403076923077</v>
      </c>
      <c r="T58" t="s">
        <v>801</v>
      </c>
    </row>
    <row r="59" spans="1:20" ht="12.75">
      <c r="A59" t="s">
        <v>556</v>
      </c>
      <c r="C59" t="s">
        <v>373</v>
      </c>
      <c r="E59">
        <v>2100</v>
      </c>
      <c r="G59" s="2">
        <f>G36/O59</f>
        <v>0.8556200854399372</v>
      </c>
      <c r="H59" s="2">
        <f>H36/O59</f>
        <v>1.283430128159906</v>
      </c>
      <c r="I59" s="2">
        <f>I36/O59</f>
        <v>1.719796371734274</v>
      </c>
      <c r="J59" s="2">
        <f>J36/O59</f>
        <v>2.566860256319812</v>
      </c>
      <c r="K59" s="2">
        <f t="shared" si="16"/>
        <v>5.133720512639624</v>
      </c>
      <c r="L59" s="2">
        <f t="shared" si="17"/>
        <v>7.700580768959437</v>
      </c>
      <c r="M59" s="2">
        <f t="shared" si="18"/>
        <v>10.267441025279249</v>
      </c>
      <c r="N59" s="2">
        <f>$N$36/$O59</f>
        <v>1.5888888888888888</v>
      </c>
      <c r="O59" s="2">
        <f t="shared" si="20"/>
        <v>145.3846153846154</v>
      </c>
      <c r="Q59" s="10">
        <f>O59*O27</f>
        <v>436.1538461538462</v>
      </c>
      <c r="R59" s="4">
        <f t="shared" si="19"/>
        <v>5233.846153846154</v>
      </c>
      <c r="T59" t="s">
        <v>197</v>
      </c>
    </row>
    <row r="60" spans="1:20" ht="12.75">
      <c r="A60" t="s">
        <v>562</v>
      </c>
      <c r="C60" s="3"/>
      <c r="F60" s="4">
        <f>E59*0.726</f>
        <v>1524.6</v>
      </c>
      <c r="G60" s="2">
        <f>G$36/$P60</f>
        <v>1.1785400625894453</v>
      </c>
      <c r="H60" s="2">
        <f>H$36/$P60</f>
        <v>1.767810093884168</v>
      </c>
      <c r="I60" s="2">
        <f>I$36/$P60</f>
        <v>2.3688655258047855</v>
      </c>
      <c r="J60" s="2">
        <f>J$36/$P60</f>
        <v>3.535620187768336</v>
      </c>
      <c r="K60" s="2">
        <f t="shared" si="16"/>
        <v>7.071240375536672</v>
      </c>
      <c r="L60" s="2">
        <f>J60*3</f>
        <v>10.606860563305009</v>
      </c>
      <c r="M60" s="2">
        <f>J60*4</f>
        <v>14.142480751073345</v>
      </c>
      <c r="N60" s="2">
        <f>$N$36/$P60</f>
        <v>2.1885521885521886</v>
      </c>
      <c r="P60" s="2">
        <f>F60/13*0.9</f>
        <v>105.54923076923076</v>
      </c>
      <c r="Q60" s="10">
        <f>P60*O27</f>
        <v>316.6476923076923</v>
      </c>
      <c r="R60" s="4">
        <f t="shared" si="19"/>
        <v>3799.7723076923075</v>
      </c>
      <c r="T60" t="s">
        <v>198</v>
      </c>
    </row>
    <row r="61" spans="1:20" ht="12.75">
      <c r="A61" t="s">
        <v>563</v>
      </c>
      <c r="C61" t="s">
        <v>399</v>
      </c>
      <c r="E61">
        <v>2100</v>
      </c>
      <c r="G61" s="2">
        <f>G36/O61</f>
        <v>0.8556200854399372</v>
      </c>
      <c r="H61" s="2">
        <f>H36/O61</f>
        <v>1.283430128159906</v>
      </c>
      <c r="I61" s="2">
        <f>I36/O61</f>
        <v>1.719796371734274</v>
      </c>
      <c r="J61" s="2">
        <f>J36/O61</f>
        <v>2.566860256319812</v>
      </c>
      <c r="K61" s="2">
        <f t="shared" si="16"/>
        <v>5.133720512639624</v>
      </c>
      <c r="L61" s="2">
        <f t="shared" si="17"/>
        <v>7.700580768959437</v>
      </c>
      <c r="M61" s="2">
        <f t="shared" si="18"/>
        <v>10.267441025279249</v>
      </c>
      <c r="N61" s="2">
        <f>$N$36/$O61</f>
        <v>1.5888888888888888</v>
      </c>
      <c r="O61" s="2">
        <f t="shared" si="20"/>
        <v>145.3846153846154</v>
      </c>
      <c r="Q61" s="10">
        <f>O61*O28</f>
        <v>726.9230769230769</v>
      </c>
      <c r="R61" s="4">
        <f t="shared" si="19"/>
        <v>8723.076923076922</v>
      </c>
      <c r="T61" t="s">
        <v>576</v>
      </c>
    </row>
    <row r="62" spans="1:20" ht="12.75">
      <c r="A62" t="s">
        <v>565</v>
      </c>
      <c r="F62" s="4">
        <f>E61*0.726</f>
        <v>1524.6</v>
      </c>
      <c r="G62" s="2">
        <f>G$36/$P62</f>
        <v>1.1785400625894453</v>
      </c>
      <c r="H62" s="2">
        <f>H$36/$P62</f>
        <v>1.767810093884168</v>
      </c>
      <c r="I62" s="2">
        <f>I$36/$P62</f>
        <v>2.3688655258047855</v>
      </c>
      <c r="J62" s="2">
        <f>J$36/$P62</f>
        <v>3.535620187768336</v>
      </c>
      <c r="K62" s="2">
        <f t="shared" si="16"/>
        <v>7.071240375536672</v>
      </c>
      <c r="L62" s="2">
        <f>J62*3</f>
        <v>10.606860563305009</v>
      </c>
      <c r="M62" s="2">
        <f>J62*4</f>
        <v>14.142480751073345</v>
      </c>
      <c r="N62" s="2">
        <f>$N$36/$P62</f>
        <v>2.1885521885521886</v>
      </c>
      <c r="P62" s="2">
        <f>F62/13*0.9</f>
        <v>105.54923076923076</v>
      </c>
      <c r="Q62" s="10">
        <f>P62*O28</f>
        <v>527.7461538461538</v>
      </c>
      <c r="R62" s="4">
        <f t="shared" si="19"/>
        <v>6332.953846153845</v>
      </c>
      <c r="T62" t="s">
        <v>605</v>
      </c>
    </row>
    <row r="63" spans="1:20" ht="12.75">
      <c r="A63" t="s">
        <v>566</v>
      </c>
      <c r="E63" s="46" t="s">
        <v>656</v>
      </c>
      <c r="F63" s="46" t="s">
        <v>651</v>
      </c>
      <c r="G63" s="26"/>
      <c r="H63" s="26"/>
      <c r="I63" s="26"/>
      <c r="J63" s="26"/>
      <c r="K63" s="26"/>
      <c r="L63" s="26"/>
      <c r="M63" s="26"/>
      <c r="T63" t="s">
        <v>606</v>
      </c>
    </row>
    <row r="64" spans="1:18" ht="12.75">
      <c r="A64" t="s">
        <v>569</v>
      </c>
      <c r="C64" t="s">
        <v>1143</v>
      </c>
      <c r="G64" s="25">
        <f>G36/O64</f>
        <v>1.9137538005698005</v>
      </c>
      <c r="H64" s="25">
        <f>H36/O64</f>
        <v>2.870630700854701</v>
      </c>
      <c r="I64" s="25">
        <f>I36/O64</f>
        <v>3.8466451391452994</v>
      </c>
      <c r="J64" s="25">
        <f>J36/O64</f>
        <v>5.741261401709402</v>
      </c>
      <c r="K64" s="25">
        <f t="shared" si="16"/>
        <v>11.482522803418805</v>
      </c>
      <c r="L64" s="25">
        <f t="shared" si="17"/>
        <v>17.223784205128208</v>
      </c>
      <c r="M64" s="25">
        <f>J64*M4</f>
        <v>40.18882981196582</v>
      </c>
      <c r="N64" t="s">
        <v>1142</v>
      </c>
      <c r="O64" s="4">
        <v>65</v>
      </c>
      <c r="P64" t="s">
        <v>372</v>
      </c>
      <c r="R64" t="s">
        <v>953</v>
      </c>
    </row>
    <row r="65" spans="3:18" ht="12.75">
      <c r="C65" t="s">
        <v>938</v>
      </c>
      <c r="E65" s="74">
        <f>SUM(B66:D66)</f>
        <v>830</v>
      </c>
      <c r="G65" s="25">
        <f aca="true" t="shared" si="21" ref="G65:M65">G36/$O65</f>
        <v>2.1648219029203233</v>
      </c>
      <c r="H65" s="25">
        <f t="shared" si="21"/>
        <v>3.2472328543804854</v>
      </c>
      <c r="I65" s="25">
        <f t="shared" si="21"/>
        <v>4.35129202486985</v>
      </c>
      <c r="J65" s="25">
        <f t="shared" si="21"/>
        <v>6.494465708760971</v>
      </c>
      <c r="K65" s="25">
        <f t="shared" si="21"/>
        <v>12.988931417521941</v>
      </c>
      <c r="L65" s="25">
        <f t="shared" si="21"/>
        <v>19.483397126282913</v>
      </c>
      <c r="M65" s="25">
        <f t="shared" si="21"/>
        <v>45.461259961326796</v>
      </c>
      <c r="O65" s="2">
        <f>E65/13*0.9</f>
        <v>57.46153846153846</v>
      </c>
      <c r="R65" t="s">
        <v>945</v>
      </c>
    </row>
    <row r="66" spans="1:15" ht="12.75">
      <c r="A66" t="s">
        <v>802</v>
      </c>
      <c r="B66" s="74">
        <v>320</v>
      </c>
      <c r="C66" s="74">
        <v>360</v>
      </c>
      <c r="D66" s="74">
        <v>150</v>
      </c>
      <c r="E66" t="s">
        <v>1030</v>
      </c>
      <c r="F66">
        <v>720</v>
      </c>
      <c r="G66" s="2">
        <f aca="true" t="shared" si="22" ref="G66:M66">G36/$O66</f>
        <v>2.246002724279835</v>
      </c>
      <c r="H66" s="2">
        <f t="shared" si="22"/>
        <v>3.369004086419753</v>
      </c>
      <c r="I66" s="2">
        <f t="shared" si="22"/>
        <v>4.514465475802469</v>
      </c>
      <c r="J66" s="2">
        <f t="shared" si="22"/>
        <v>6.738008172839506</v>
      </c>
      <c r="K66" s="2">
        <f t="shared" si="22"/>
        <v>13.476016345679012</v>
      </c>
      <c r="L66" s="2">
        <f t="shared" si="22"/>
        <v>20.21402451851852</v>
      </c>
      <c r="M66" s="2">
        <f t="shared" si="22"/>
        <v>47.16605720987654</v>
      </c>
      <c r="O66">
        <f>F66/13</f>
        <v>55.38461538461539</v>
      </c>
    </row>
    <row r="67" spans="5:16" ht="12.75">
      <c r="E67" s="8"/>
      <c r="F67" s="8"/>
      <c r="G67" s="39" t="s">
        <v>1021</v>
      </c>
      <c r="H67" s="39" t="s">
        <v>957</v>
      </c>
      <c r="I67" s="39" t="s">
        <v>958</v>
      </c>
      <c r="J67" s="39" t="s">
        <v>667</v>
      </c>
      <c r="K67" s="39" t="s">
        <v>967</v>
      </c>
      <c r="L67" s="39" t="s">
        <v>968</v>
      </c>
      <c r="M67" s="39">
        <f>M4</f>
        <v>7</v>
      </c>
      <c r="N67" s="39" t="s">
        <v>1026</v>
      </c>
      <c r="P67" s="2" t="s">
        <v>941</v>
      </c>
    </row>
    <row r="68" spans="1:15" ht="12.75">
      <c r="A68" t="s">
        <v>735</v>
      </c>
      <c r="O68" t="s">
        <v>949</v>
      </c>
    </row>
    <row r="69" spans="1:15" ht="12.75">
      <c r="A69" t="s">
        <v>736</v>
      </c>
      <c r="G69" s="2"/>
      <c r="H69" s="2"/>
      <c r="I69" s="2"/>
      <c r="J69" s="2"/>
      <c r="K69" s="3"/>
      <c r="O69" t="s">
        <v>454</v>
      </c>
    </row>
    <row r="70" spans="1:21" ht="12.75">
      <c r="A70" t="s">
        <v>455</v>
      </c>
      <c r="O70" s="2"/>
      <c r="P70" t="s">
        <v>612</v>
      </c>
      <c r="U70" t="s">
        <v>279</v>
      </c>
    </row>
    <row r="71" spans="1:21" ht="12.75">
      <c r="A71" t="s">
        <v>536</v>
      </c>
      <c r="O71" s="2"/>
      <c r="P71" t="s">
        <v>613</v>
      </c>
      <c r="U71" t="s">
        <v>285</v>
      </c>
    </row>
    <row r="72" spans="1:21" ht="12.75">
      <c r="A72" t="s">
        <v>645</v>
      </c>
      <c r="N72" s="8" t="s">
        <v>54</v>
      </c>
      <c r="O72" s="2"/>
      <c r="U72" t="s">
        <v>280</v>
      </c>
    </row>
    <row r="73" spans="1:15" ht="12.75">
      <c r="A73" t="s">
        <v>702</v>
      </c>
      <c r="O73" s="2"/>
    </row>
    <row r="74" spans="1:15" ht="12.75">
      <c r="A74" t="s">
        <v>1093</v>
      </c>
      <c r="M74" t="s">
        <v>933</v>
      </c>
      <c r="O74" s="2"/>
    </row>
    <row r="75" spans="1:13" ht="12.75">
      <c r="A75" t="s">
        <v>737</v>
      </c>
      <c r="M75" t="s">
        <v>937</v>
      </c>
    </row>
    <row r="76" spans="1:12" ht="12.75">
      <c r="A76" t="s">
        <v>704</v>
      </c>
      <c r="L76" t="s">
        <v>1094</v>
      </c>
    </row>
    <row r="77" spans="1:12" ht="12.75">
      <c r="A77" t="s">
        <v>746</v>
      </c>
      <c r="L77" t="s">
        <v>1104</v>
      </c>
    </row>
    <row r="78" spans="1:12" ht="12.75">
      <c r="A78" t="s">
        <v>747</v>
      </c>
      <c r="L78" t="s">
        <v>1095</v>
      </c>
    </row>
    <row r="79" spans="1:12" ht="12.75">
      <c r="A79" t="s">
        <v>429</v>
      </c>
      <c r="L79" t="s">
        <v>469</v>
      </c>
    </row>
    <row r="80" spans="1:12" ht="12.75">
      <c r="A80" t="s">
        <v>929</v>
      </c>
      <c r="L80" t="s">
        <v>112</v>
      </c>
    </row>
    <row r="81" spans="1:12" ht="12.75">
      <c r="A81" t="s">
        <v>930</v>
      </c>
      <c r="L81" t="s">
        <v>876</v>
      </c>
    </row>
    <row r="82" spans="1:12" ht="12.75">
      <c r="A82" t="s">
        <v>538</v>
      </c>
      <c r="L82" t="s">
        <v>877</v>
      </c>
    </row>
    <row r="83" spans="1:12" ht="12.75">
      <c r="A83" t="s">
        <v>932</v>
      </c>
      <c r="L83" t="s">
        <v>878</v>
      </c>
    </row>
    <row r="84" spans="1:12" ht="12.75">
      <c r="A84" t="s">
        <v>696</v>
      </c>
      <c r="L84" t="s">
        <v>879</v>
      </c>
    </row>
    <row r="85" ht="12.75">
      <c r="M85" t="s">
        <v>159</v>
      </c>
    </row>
    <row r="86" ht="12.75">
      <c r="A86" t="s">
        <v>697</v>
      </c>
    </row>
    <row r="87" ht="12.75">
      <c r="A87" t="s">
        <v>698</v>
      </c>
    </row>
    <row r="88" ht="12.75">
      <c r="A88" t="s">
        <v>637</v>
      </c>
    </row>
    <row r="89" ht="12.75">
      <c r="A89" t="s">
        <v>726</v>
      </c>
    </row>
    <row r="90" ht="12.75">
      <c r="L90" t="s">
        <v>720</v>
      </c>
    </row>
    <row r="91" spans="1:12" ht="12.75">
      <c r="A91" s="11" t="s">
        <v>16</v>
      </c>
      <c r="B91" s="8"/>
      <c r="C91" s="8"/>
      <c r="G91" t="s">
        <v>973</v>
      </c>
      <c r="L91" t="s">
        <v>721</v>
      </c>
    </row>
    <row r="92" spans="7:12" ht="12.75">
      <c r="G92" t="s">
        <v>983</v>
      </c>
      <c r="L92" t="s">
        <v>722</v>
      </c>
    </row>
    <row r="93" spans="1:12" ht="12.75">
      <c r="A93" t="s">
        <v>705</v>
      </c>
      <c r="E93" t="s">
        <v>1161</v>
      </c>
      <c r="G93">
        <f>87710/1493</f>
        <v>58.747488278633625</v>
      </c>
      <c r="H93" t="s">
        <v>984</v>
      </c>
      <c r="L93" t="s">
        <v>725</v>
      </c>
    </row>
    <row r="94" spans="1:12" ht="12.75">
      <c r="A94" t="s">
        <v>1159</v>
      </c>
      <c r="C94" t="s">
        <v>1160</v>
      </c>
      <c r="E94" t="s">
        <v>1162</v>
      </c>
      <c r="G94" t="s">
        <v>727</v>
      </c>
      <c r="L94" t="s">
        <v>1097</v>
      </c>
    </row>
    <row r="95" spans="1:12" ht="12.75">
      <c r="A95" s="9"/>
      <c r="E95" s="10"/>
      <c r="G95" s="10"/>
      <c r="L95" t="s">
        <v>1098</v>
      </c>
    </row>
    <row r="96" spans="1:12" ht="12.75">
      <c r="A96" s="9">
        <v>0.1</v>
      </c>
      <c r="C96">
        <v>7000</v>
      </c>
      <c r="E96" s="10">
        <f aca="true" t="shared" si="23" ref="E96:E105">C96/365</f>
        <v>19.17808219178082</v>
      </c>
      <c r="G96" s="10" t="s">
        <v>728</v>
      </c>
      <c r="L96" t="s">
        <v>1110</v>
      </c>
    </row>
    <row r="97" spans="1:12" ht="12.75">
      <c r="A97" s="9">
        <v>0.2</v>
      </c>
      <c r="C97">
        <v>3300</v>
      </c>
      <c r="E97" s="10">
        <f t="shared" si="23"/>
        <v>9.04109589041096</v>
      </c>
      <c r="G97" s="10" t="s">
        <v>2</v>
      </c>
      <c r="L97" t="s">
        <v>1136</v>
      </c>
    </row>
    <row r="98" spans="1:12" ht="12.75">
      <c r="A98" s="9">
        <v>0.3</v>
      </c>
      <c r="C98">
        <v>2050</v>
      </c>
      <c r="E98" s="10">
        <f t="shared" si="23"/>
        <v>5.616438356164384</v>
      </c>
      <c r="G98" s="10"/>
      <c r="L98" t="s">
        <v>1099</v>
      </c>
    </row>
    <row r="99" spans="1:12" ht="12.75">
      <c r="A99" s="9">
        <v>0.4</v>
      </c>
      <c r="C99">
        <v>1475</v>
      </c>
      <c r="E99" s="10">
        <f t="shared" si="23"/>
        <v>4.041095890410959</v>
      </c>
      <c r="G99" s="10"/>
      <c r="L99" t="s">
        <v>1138</v>
      </c>
    </row>
    <row r="100" spans="1:12" ht="12.75">
      <c r="A100" s="9">
        <v>0.5</v>
      </c>
      <c r="C100">
        <v>1150</v>
      </c>
      <c r="E100" s="10">
        <f t="shared" si="23"/>
        <v>3.1506849315068495</v>
      </c>
      <c r="G100" s="10" t="s">
        <v>589</v>
      </c>
      <c r="L100" t="s">
        <v>312</v>
      </c>
    </row>
    <row r="101" spans="1:12" ht="12.75">
      <c r="A101" s="9">
        <v>0.6</v>
      </c>
      <c r="C101">
        <v>950</v>
      </c>
      <c r="E101" s="10">
        <f t="shared" si="23"/>
        <v>2.6027397260273974</v>
      </c>
      <c r="G101" s="10" t="s">
        <v>590</v>
      </c>
      <c r="L101" t="s">
        <v>1100</v>
      </c>
    </row>
    <row r="102" spans="1:12" ht="12.75">
      <c r="A102" s="9">
        <v>0.7</v>
      </c>
      <c r="C102">
        <v>780</v>
      </c>
      <c r="E102" s="10">
        <f t="shared" si="23"/>
        <v>2.136986301369863</v>
      </c>
      <c r="G102" s="10" t="s">
        <v>591</v>
      </c>
      <c r="L102" t="s">
        <v>1139</v>
      </c>
    </row>
    <row r="103" spans="1:12" ht="12.75">
      <c r="A103" s="9">
        <v>0.8</v>
      </c>
      <c r="C103">
        <v>675</v>
      </c>
      <c r="E103" s="10">
        <f t="shared" si="23"/>
        <v>1.8493150684931507</v>
      </c>
      <c r="G103" s="10" t="s">
        <v>592</v>
      </c>
      <c r="L103" t="s">
        <v>1140</v>
      </c>
    </row>
    <row r="104" spans="1:12" ht="12.75">
      <c r="A104" s="9">
        <v>0.9</v>
      </c>
      <c r="C104">
        <v>550</v>
      </c>
      <c r="E104" s="10">
        <f t="shared" si="23"/>
        <v>1.5068493150684932</v>
      </c>
      <c r="G104" s="10" t="s">
        <v>595</v>
      </c>
      <c r="L104" t="s">
        <v>1141</v>
      </c>
    </row>
    <row r="105" spans="1:12" ht="12.75">
      <c r="A105" s="9">
        <v>1</v>
      </c>
      <c r="C105">
        <v>500</v>
      </c>
      <c r="E105" s="10">
        <f t="shared" si="23"/>
        <v>1.36986301369863</v>
      </c>
      <c r="G105" s="10" t="s">
        <v>596</v>
      </c>
      <c r="L105" t="s">
        <v>206</v>
      </c>
    </row>
    <row r="106" spans="7:12" ht="12.75">
      <c r="G106" t="s">
        <v>597</v>
      </c>
      <c r="L106" t="s">
        <v>207</v>
      </c>
    </row>
    <row r="107" spans="1:12" ht="12.75">
      <c r="A107" t="s">
        <v>601</v>
      </c>
      <c r="L107" t="s">
        <v>1101</v>
      </c>
    </row>
    <row r="108" spans="1:12" ht="12.75">
      <c r="A108" t="s">
        <v>607</v>
      </c>
      <c r="L108" t="s">
        <v>1111</v>
      </c>
    </row>
    <row r="109" spans="1:12" ht="12.75">
      <c r="A109" t="s">
        <v>22</v>
      </c>
      <c r="L109" t="s">
        <v>1112</v>
      </c>
    </row>
    <row r="110" spans="1:12" ht="12.75">
      <c r="A110" t="s">
        <v>610</v>
      </c>
      <c r="L110" t="s">
        <v>1117</v>
      </c>
    </row>
    <row r="111" spans="1:12" ht="12.75">
      <c r="A111" t="s">
        <v>615</v>
      </c>
      <c r="L111" t="s">
        <v>1116</v>
      </c>
    </row>
    <row r="112" spans="1:12" ht="12.75">
      <c r="A112" t="s">
        <v>616</v>
      </c>
      <c r="L112" t="s">
        <v>14</v>
      </c>
    </row>
    <row r="113" spans="4:13" ht="12.75">
      <c r="D113" s="1"/>
      <c r="E113" s="1"/>
      <c r="F113" s="1"/>
      <c r="G113" s="1"/>
      <c r="H113" s="1"/>
      <c r="I113" s="1"/>
      <c r="J113" s="1"/>
      <c r="K113" s="1"/>
      <c r="L113" t="s">
        <v>15</v>
      </c>
      <c r="M113" s="1"/>
    </row>
    <row r="114" spans="1:13" ht="12.75">
      <c r="A114" t="s">
        <v>617</v>
      </c>
      <c r="D114" s="2"/>
      <c r="E114" s="2"/>
      <c r="F114" s="4"/>
      <c r="G114" s="2"/>
      <c r="H114" s="2"/>
      <c r="I114" s="2"/>
      <c r="J114" s="2"/>
      <c r="K114" s="2"/>
      <c r="L114" s="2"/>
      <c r="M114" t="s">
        <v>1135</v>
      </c>
    </row>
    <row r="115" spans="1:13" ht="12.75">
      <c r="A115" t="s">
        <v>44</v>
      </c>
      <c r="D115" s="2"/>
      <c r="E115" s="2"/>
      <c r="F115" s="4"/>
      <c r="G115" s="2"/>
      <c r="H115" s="2"/>
      <c r="I115" s="2"/>
      <c r="J115" s="2"/>
      <c r="K115" s="2"/>
      <c r="L115" s="2"/>
      <c r="M115" t="s">
        <v>1124</v>
      </c>
    </row>
    <row r="116" spans="1:13" ht="12.75">
      <c r="A116" t="s">
        <v>308</v>
      </c>
      <c r="D116" s="2"/>
      <c r="E116" s="2"/>
      <c r="F116" s="4"/>
      <c r="G116" s="2"/>
      <c r="H116" s="2"/>
      <c r="I116" s="2"/>
      <c r="J116" s="2"/>
      <c r="K116" s="2"/>
      <c r="L116" s="2"/>
      <c r="M116" t="s">
        <v>30</v>
      </c>
    </row>
    <row r="117" spans="4:13" ht="12.75">
      <c r="D117" s="2"/>
      <c r="E117" s="2"/>
      <c r="F117" s="4"/>
      <c r="G117" s="2"/>
      <c r="H117" s="2"/>
      <c r="I117" s="2"/>
      <c r="J117" s="2"/>
      <c r="K117" s="2"/>
      <c r="L117" s="2"/>
      <c r="M117" t="s">
        <v>31</v>
      </c>
    </row>
    <row r="118" spans="1:13" ht="12.75">
      <c r="A118" t="s">
        <v>729</v>
      </c>
      <c r="D118" s="2"/>
      <c r="E118" s="2"/>
      <c r="F118" s="4"/>
      <c r="G118" s="2"/>
      <c r="H118" s="2"/>
      <c r="I118" s="2"/>
      <c r="J118" s="2"/>
      <c r="K118" s="2"/>
      <c r="L118" s="2"/>
      <c r="M118" t="s">
        <v>1125</v>
      </c>
    </row>
    <row r="119" spans="1:13" ht="12.75">
      <c r="A119" t="s">
        <v>730</v>
      </c>
      <c r="D119" s="2"/>
      <c r="E119" s="2"/>
      <c r="F119" s="4"/>
      <c r="G119" s="2"/>
      <c r="H119" s="2"/>
      <c r="I119" s="2"/>
      <c r="J119" s="2"/>
      <c r="K119" s="2"/>
      <c r="L119" s="2"/>
      <c r="M119" t="s">
        <v>1127</v>
      </c>
    </row>
    <row r="120" spans="1:13" ht="12.75">
      <c r="A120" t="s">
        <v>731</v>
      </c>
      <c r="D120" s="2"/>
      <c r="E120" s="2"/>
      <c r="F120" s="4"/>
      <c r="G120" s="2"/>
      <c r="H120" s="2"/>
      <c r="I120" s="2"/>
      <c r="J120" s="2"/>
      <c r="K120" s="2"/>
      <c r="L120" s="2"/>
      <c r="M120" t="s">
        <v>1128</v>
      </c>
    </row>
    <row r="121" spans="1:13" ht="12.75">
      <c r="A121" t="s">
        <v>732</v>
      </c>
      <c r="D121" s="2"/>
      <c r="E121" s="2"/>
      <c r="F121" s="4"/>
      <c r="G121" s="2"/>
      <c r="H121" s="2"/>
      <c r="I121" s="2"/>
      <c r="J121" s="2"/>
      <c r="K121" s="2"/>
      <c r="L121" s="2"/>
      <c r="M121" t="s">
        <v>32</v>
      </c>
    </row>
    <row r="122" spans="1:13" ht="12.75">
      <c r="A122" t="s">
        <v>486</v>
      </c>
      <c r="D122" s="2"/>
      <c r="E122" s="2"/>
      <c r="F122" s="4"/>
      <c r="G122" s="2"/>
      <c r="H122" s="2"/>
      <c r="I122" s="2"/>
      <c r="J122" s="2"/>
      <c r="K122" s="2"/>
      <c r="L122" s="2"/>
      <c r="M122" t="s">
        <v>1126</v>
      </c>
    </row>
    <row r="123" spans="1:13" ht="12.75">
      <c r="A123" t="s">
        <v>485</v>
      </c>
      <c r="D123" s="2"/>
      <c r="E123" s="2"/>
      <c r="F123" s="4"/>
      <c r="G123" s="2"/>
      <c r="H123" s="2"/>
      <c r="I123" s="2"/>
      <c r="J123" s="2"/>
      <c r="K123" s="2"/>
      <c r="L123" s="2"/>
      <c r="M123" t="s">
        <v>41</v>
      </c>
    </row>
    <row r="124" spans="1:13" ht="12.75">
      <c r="A124" t="s">
        <v>733</v>
      </c>
      <c r="C124" s="2"/>
      <c r="D124" s="2"/>
      <c r="E124" s="2"/>
      <c r="F124" s="4"/>
      <c r="G124" s="2"/>
      <c r="H124" s="2"/>
      <c r="I124" s="2"/>
      <c r="J124" s="2"/>
      <c r="K124" s="2"/>
      <c r="L124" s="2"/>
      <c r="M124" t="s">
        <v>1129</v>
      </c>
    </row>
    <row r="125" spans="3:13" ht="12.75">
      <c r="C125" s="2"/>
      <c r="D125" s="2"/>
      <c r="E125" s="2"/>
      <c r="F125" s="4"/>
      <c r="G125" s="2"/>
      <c r="H125" s="2"/>
      <c r="I125" s="2"/>
      <c r="J125" s="2"/>
      <c r="K125" s="2"/>
      <c r="L125" s="2"/>
      <c r="M125" t="s">
        <v>631</v>
      </c>
    </row>
    <row r="126" spans="1:13" ht="12.75">
      <c r="A126" s="8" t="s">
        <v>49</v>
      </c>
      <c r="M126" t="s">
        <v>1131</v>
      </c>
    </row>
    <row r="127" spans="1:13" ht="12.75">
      <c r="A127" s="3">
        <v>210</v>
      </c>
      <c r="B127" t="s">
        <v>57</v>
      </c>
      <c r="I127" t="s">
        <v>663</v>
      </c>
      <c r="M127" t="s">
        <v>1132</v>
      </c>
    </row>
    <row r="128" spans="1:13" ht="12.75">
      <c r="A128" s="3">
        <v>80</v>
      </c>
      <c r="B128" t="s">
        <v>904</v>
      </c>
      <c r="M128" t="s">
        <v>1133</v>
      </c>
    </row>
    <row r="129" spans="1:13" ht="12.75">
      <c r="A129" s="3">
        <v>1138</v>
      </c>
      <c r="B129" t="s">
        <v>433</v>
      </c>
      <c r="M129" t="s">
        <v>1134</v>
      </c>
    </row>
    <row r="130" spans="1:13" ht="12.75">
      <c r="A130" s="3">
        <v>392</v>
      </c>
      <c r="B130" t="s">
        <v>1048</v>
      </c>
      <c r="M130" t="s">
        <v>208</v>
      </c>
    </row>
    <row r="131" spans="1:13" ht="12.75">
      <c r="A131" s="3">
        <v>430</v>
      </c>
      <c r="B131" t="s">
        <v>487</v>
      </c>
      <c r="M131" t="s">
        <v>210</v>
      </c>
    </row>
    <row r="132" spans="1:13" ht="12.75">
      <c r="A132" s="3">
        <v>410</v>
      </c>
      <c r="B132" t="s">
        <v>920</v>
      </c>
      <c r="M132" t="s">
        <v>209</v>
      </c>
    </row>
    <row r="133" spans="1:13" ht="12.75">
      <c r="A133" s="3">
        <v>35</v>
      </c>
      <c r="B133" t="s">
        <v>872</v>
      </c>
      <c r="M133" t="s">
        <v>309</v>
      </c>
    </row>
    <row r="134" spans="2:13" ht="12.75">
      <c r="B134" t="s">
        <v>873</v>
      </c>
      <c r="M134" t="s">
        <v>310</v>
      </c>
    </row>
    <row r="135" spans="1:13" ht="12.75">
      <c r="A135" s="3"/>
      <c r="M135" t="s">
        <v>311</v>
      </c>
    </row>
    <row r="136" spans="1:16" ht="12.75">
      <c r="A136" s="3">
        <f>SUM(A127:A135)</f>
        <v>2695</v>
      </c>
      <c r="B136" t="s">
        <v>1182</v>
      </c>
      <c r="O136" t="s">
        <v>598</v>
      </c>
      <c r="P136" t="s">
        <v>599</v>
      </c>
    </row>
    <row r="137" spans="1:16" ht="12.75">
      <c r="A137" s="3"/>
      <c r="C137" t="s">
        <v>1183</v>
      </c>
      <c r="P137" t="s">
        <v>600</v>
      </c>
    </row>
    <row r="138" spans="2:12" ht="12.75">
      <c r="B138" t="s">
        <v>24</v>
      </c>
      <c r="L138" s="3"/>
    </row>
    <row r="139" spans="2:13" ht="12.75">
      <c r="B139" t="s">
        <v>48</v>
      </c>
      <c r="L139" s="3"/>
      <c r="M139" t="s">
        <v>321</v>
      </c>
    </row>
    <row r="140" spans="2:13" ht="12.75">
      <c r="B140" t="s">
        <v>25</v>
      </c>
      <c r="M140" t="s">
        <v>322</v>
      </c>
    </row>
    <row r="141" spans="2:13" ht="12.75">
      <c r="B141" t="s">
        <v>28</v>
      </c>
      <c r="M141" t="s">
        <v>323</v>
      </c>
    </row>
    <row r="142" spans="2:13" ht="12.75">
      <c r="B142" t="s">
        <v>50</v>
      </c>
      <c r="M142" t="s">
        <v>332</v>
      </c>
    </row>
    <row r="143" spans="2:13" ht="12.75">
      <c r="B143" t="s">
        <v>29</v>
      </c>
      <c r="M143" t="s">
        <v>320</v>
      </c>
    </row>
    <row r="144" ht="12.75">
      <c r="B144" t="s">
        <v>51</v>
      </c>
    </row>
    <row r="145" spans="2:13" ht="12.75">
      <c r="B145" t="s">
        <v>488</v>
      </c>
      <c r="M145" t="s">
        <v>264</v>
      </c>
    </row>
    <row r="146" spans="1:13" ht="12.75">
      <c r="A146" t="s">
        <v>523</v>
      </c>
      <c r="M146" s="21" t="s">
        <v>263</v>
      </c>
    </row>
    <row r="147" spans="2:13" ht="12.75">
      <c r="B147" t="s">
        <v>52</v>
      </c>
      <c r="M147" t="s">
        <v>313</v>
      </c>
    </row>
    <row r="148" spans="2:13" ht="12.75">
      <c r="B148" t="s">
        <v>53</v>
      </c>
      <c r="M148" t="s">
        <v>265</v>
      </c>
    </row>
    <row r="149" spans="2:13" ht="12.75">
      <c r="B149" t="s">
        <v>55</v>
      </c>
      <c r="G149" s="2"/>
      <c r="H149" s="2"/>
      <c r="I149" s="2"/>
      <c r="J149" s="2"/>
      <c r="K149" s="2"/>
      <c r="L149" s="2"/>
      <c r="M149" t="s">
        <v>267</v>
      </c>
    </row>
    <row r="150" spans="2:12" ht="12.75">
      <c r="B150" t="s">
        <v>56</v>
      </c>
      <c r="G150" s="2"/>
      <c r="H150" s="2"/>
      <c r="I150" s="2"/>
      <c r="J150" s="2"/>
      <c r="K150" s="2"/>
      <c r="L150" s="2"/>
    </row>
    <row r="151" ht="12.75">
      <c r="M151" t="s">
        <v>338</v>
      </c>
    </row>
    <row r="152" spans="2:13" ht="12.75">
      <c r="B152" t="s">
        <v>62</v>
      </c>
      <c r="M152" t="s">
        <v>336</v>
      </c>
    </row>
    <row r="153" spans="2:13" ht="12.75">
      <c r="B153" t="s">
        <v>65</v>
      </c>
      <c r="M153" t="s">
        <v>1049</v>
      </c>
    </row>
    <row r="154" spans="2:13" ht="12.75">
      <c r="B154" t="s">
        <v>117</v>
      </c>
      <c r="M154" t="s">
        <v>339</v>
      </c>
    </row>
    <row r="155" spans="2:13" ht="12.75">
      <c r="B155" t="s">
        <v>163</v>
      </c>
      <c r="M155" t="s">
        <v>340</v>
      </c>
    </row>
    <row r="156" spans="2:13" ht="12.75">
      <c r="B156" t="s">
        <v>165</v>
      </c>
      <c r="M156" t="s">
        <v>342</v>
      </c>
    </row>
    <row r="157" ht="12.75">
      <c r="M157" t="s">
        <v>344</v>
      </c>
    </row>
    <row r="158" spans="2:13" ht="12.75">
      <c r="B158" t="s">
        <v>125</v>
      </c>
      <c r="M158" t="s">
        <v>345</v>
      </c>
    </row>
    <row r="159" spans="2:13" ht="12.75">
      <c r="B159" t="s">
        <v>23</v>
      </c>
      <c r="M159" t="s">
        <v>346</v>
      </c>
    </row>
    <row r="161" spans="2:16" ht="12.75">
      <c r="B161" t="s">
        <v>1050</v>
      </c>
      <c r="I161" s="29"/>
      <c r="J161" s="17"/>
      <c r="P161" s="20" t="s">
        <v>366</v>
      </c>
    </row>
    <row r="162" spans="2:21" ht="12.75">
      <c r="B162" t="s">
        <v>629</v>
      </c>
      <c r="O162" t="s">
        <v>925</v>
      </c>
      <c r="P162" s="20"/>
      <c r="Q162" t="s">
        <v>924</v>
      </c>
      <c r="R162" t="s">
        <v>886</v>
      </c>
      <c r="S162" t="s">
        <v>928</v>
      </c>
      <c r="U162" t="s">
        <v>1028</v>
      </c>
    </row>
    <row r="163" spans="2:21" ht="12.75">
      <c r="B163" t="s">
        <v>630</v>
      </c>
      <c r="L163" t="s">
        <v>258</v>
      </c>
      <c r="N163" t="s">
        <v>738</v>
      </c>
      <c r="P163" t="s">
        <v>113</v>
      </c>
      <c r="Q163">
        <v>3.43</v>
      </c>
      <c r="R163">
        <v>4.09</v>
      </c>
      <c r="S163">
        <v>4.74</v>
      </c>
      <c r="U163">
        <v>3.67</v>
      </c>
    </row>
    <row r="164" spans="2:17" ht="12.75">
      <c r="B164" t="s">
        <v>1052</v>
      </c>
      <c r="L164" t="s">
        <v>256</v>
      </c>
      <c r="Q164">
        <v>3.52</v>
      </c>
    </row>
    <row r="165" spans="2:21" ht="12.75">
      <c r="B165" t="s">
        <v>1053</v>
      </c>
      <c r="L165" t="s">
        <v>259</v>
      </c>
      <c r="N165" t="s">
        <v>739</v>
      </c>
      <c r="P165" t="s">
        <v>255</v>
      </c>
      <c r="Q165">
        <v>5.23</v>
      </c>
      <c r="R165">
        <v>5.16</v>
      </c>
      <c r="S165">
        <v>6.74</v>
      </c>
      <c r="U165">
        <v>4.62</v>
      </c>
    </row>
    <row r="166" spans="2:17" ht="12.75">
      <c r="B166" t="s">
        <v>128</v>
      </c>
      <c r="L166" t="s">
        <v>257</v>
      </c>
      <c r="Q166">
        <v>5.36</v>
      </c>
    </row>
    <row r="167" spans="2:16" ht="12.75">
      <c r="B167" t="s">
        <v>212</v>
      </c>
      <c r="L167" t="s">
        <v>740</v>
      </c>
      <c r="P167" t="s">
        <v>368</v>
      </c>
    </row>
    <row r="168" spans="2:12" ht="12.75">
      <c r="B168" t="s">
        <v>129</v>
      </c>
      <c r="L168" t="s">
        <v>741</v>
      </c>
    </row>
    <row r="169" spans="2:16" ht="12.75">
      <c r="B169" t="s">
        <v>216</v>
      </c>
      <c r="L169" t="s">
        <v>742</v>
      </c>
      <c r="P169" t="s">
        <v>893</v>
      </c>
    </row>
    <row r="170" spans="2:16" ht="12.75">
      <c r="B170" t="s">
        <v>139</v>
      </c>
      <c r="L170" t="s">
        <v>434</v>
      </c>
      <c r="P170" t="s">
        <v>262</v>
      </c>
    </row>
    <row r="171" spans="2:16" ht="12.75">
      <c r="B171" t="s">
        <v>140</v>
      </c>
      <c r="L171" t="s">
        <v>435</v>
      </c>
      <c r="P171" t="s">
        <v>367</v>
      </c>
    </row>
    <row r="172" ht="12.75">
      <c r="B172" t="s">
        <v>217</v>
      </c>
    </row>
    <row r="173" spans="2:16" ht="12.75">
      <c r="B173" t="s">
        <v>143</v>
      </c>
      <c r="P173" t="s">
        <v>245</v>
      </c>
    </row>
    <row r="174" spans="2:16" ht="12.75">
      <c r="B174" t="s">
        <v>144</v>
      </c>
      <c r="P174" t="s">
        <v>246</v>
      </c>
    </row>
    <row r="175" spans="12:16" ht="12.75">
      <c r="L175" s="50" t="s">
        <v>743</v>
      </c>
      <c r="P175" t="s">
        <v>290</v>
      </c>
    </row>
    <row r="176" spans="2:16" ht="12.75">
      <c r="B176" t="s">
        <v>287</v>
      </c>
      <c r="L176" s="50" t="s">
        <v>744</v>
      </c>
      <c r="P176" t="s">
        <v>291</v>
      </c>
    </row>
    <row r="177" spans="2:12" ht="12.75">
      <c r="B177" t="s">
        <v>167</v>
      </c>
      <c r="L177" s="50" t="s">
        <v>745</v>
      </c>
    </row>
    <row r="178" spans="2:13" ht="12.75">
      <c r="B178" t="s">
        <v>166</v>
      </c>
      <c r="L178" t="s">
        <v>925</v>
      </c>
      <c r="M178" t="s">
        <v>927</v>
      </c>
    </row>
    <row r="179" spans="2:13" ht="12.75">
      <c r="B179" t="s">
        <v>288</v>
      </c>
      <c r="M179" t="s">
        <v>263</v>
      </c>
    </row>
    <row r="180" ht="12.75">
      <c r="B180" t="s">
        <v>314</v>
      </c>
    </row>
    <row r="181" ht="12.75">
      <c r="B181" t="s">
        <v>315</v>
      </c>
    </row>
    <row r="183" spans="1:14" ht="12.75">
      <c r="A183" t="s">
        <v>302</v>
      </c>
      <c r="C183" s="8" t="s">
        <v>490</v>
      </c>
      <c r="H183" s="2"/>
      <c r="I183" s="2"/>
      <c r="J183" s="2"/>
      <c r="K183" s="2"/>
      <c r="L183" s="2"/>
      <c r="M183" s="2"/>
      <c r="N183" s="10"/>
    </row>
    <row r="184" spans="1:13" ht="12.75">
      <c r="A184" t="s">
        <v>1051</v>
      </c>
      <c r="C184" t="s">
        <v>414</v>
      </c>
      <c r="E184" t="s">
        <v>420</v>
      </c>
      <c r="G184" s="2" t="s">
        <v>628</v>
      </c>
      <c r="H184" s="2"/>
      <c r="I184" s="2"/>
      <c r="J184" s="2"/>
      <c r="K184" s="2"/>
      <c r="L184" s="2"/>
      <c r="M184" s="2"/>
    </row>
    <row r="185" spans="3:16" ht="12.75">
      <c r="C185" t="s">
        <v>373</v>
      </c>
      <c r="E185">
        <v>400</v>
      </c>
      <c r="F185" t="s">
        <v>201</v>
      </c>
      <c r="G185" s="2">
        <f>G$36/$O$185</f>
        <v>4.49200544855967</v>
      </c>
      <c r="H185" s="2">
        <f>H$36/$O$185</f>
        <v>6.738008172839506</v>
      </c>
      <c r="I185" s="2">
        <f>I$36/$O$185</f>
        <v>9.028930951604938</v>
      </c>
      <c r="J185" s="2">
        <f>J$36/$O$185</f>
        <v>13.476016345679012</v>
      </c>
      <c r="K185" s="2">
        <f>J185*2</f>
        <v>26.952032691358024</v>
      </c>
      <c r="L185" s="2">
        <f>J185*3</f>
        <v>40.428049037037034</v>
      </c>
      <c r="M185" s="2">
        <f>J185*4</f>
        <v>53.90406538271605</v>
      </c>
      <c r="N185" t="s">
        <v>1142</v>
      </c>
      <c r="O185">
        <f>E185/13*0.9</f>
        <v>27.692307692307693</v>
      </c>
      <c r="P185" t="s">
        <v>370</v>
      </c>
    </row>
    <row r="186" spans="3:16" ht="12.75">
      <c r="C186" t="s">
        <v>399</v>
      </c>
      <c r="E186">
        <v>400</v>
      </c>
      <c r="F186" t="s">
        <v>201</v>
      </c>
      <c r="G186" s="2">
        <f>G$36/$O$185</f>
        <v>4.49200544855967</v>
      </c>
      <c r="H186" s="2">
        <f>H$36/$O186</f>
        <v>6.738008172839506</v>
      </c>
      <c r="I186" s="2">
        <f>I$36/$O186</f>
        <v>9.028930951604938</v>
      </c>
      <c r="J186" s="2">
        <f>J$36/$O186</f>
        <v>13.476016345679012</v>
      </c>
      <c r="K186" s="2">
        <f>J186*2</f>
        <v>26.952032691358024</v>
      </c>
      <c r="L186" s="2">
        <f>J186*3</f>
        <v>40.428049037037034</v>
      </c>
      <c r="M186" s="2">
        <f>J186*4</f>
        <v>53.90406538271605</v>
      </c>
      <c r="N186" t="s">
        <v>1142</v>
      </c>
      <c r="O186">
        <f>E186/13*0.9</f>
        <v>27.692307692307693</v>
      </c>
      <c r="P186" t="s">
        <v>370</v>
      </c>
    </row>
    <row r="187" spans="3:19" ht="12.75">
      <c r="C187" t="s">
        <v>373</v>
      </c>
      <c r="E187">
        <v>800</v>
      </c>
      <c r="F187" t="s">
        <v>201</v>
      </c>
      <c r="G187" s="2">
        <f aca="true" t="shared" si="24" ref="G187:J188">G$36/$O$187</f>
        <v>2.246002724279835</v>
      </c>
      <c r="H187" s="2">
        <f t="shared" si="24"/>
        <v>3.369004086419753</v>
      </c>
      <c r="I187" s="2">
        <f t="shared" si="24"/>
        <v>4.514465475802469</v>
      </c>
      <c r="J187" s="2">
        <f t="shared" si="24"/>
        <v>6.738008172839506</v>
      </c>
      <c r="K187" s="2">
        <f>J187*2</f>
        <v>13.476016345679012</v>
      </c>
      <c r="L187" s="2">
        <f>J187*3</f>
        <v>20.214024518518517</v>
      </c>
      <c r="M187" s="2">
        <f>J187*4</f>
        <v>26.952032691358024</v>
      </c>
      <c r="N187" t="s">
        <v>1142</v>
      </c>
      <c r="O187">
        <f>E187/13*0.9</f>
        <v>55.38461538461539</v>
      </c>
      <c r="S187" s="20" t="s">
        <v>366</v>
      </c>
    </row>
    <row r="188" spans="3:20" ht="12.75">
      <c r="C188" t="s">
        <v>399</v>
      </c>
      <c r="E188">
        <v>800</v>
      </c>
      <c r="F188" t="s">
        <v>201</v>
      </c>
      <c r="G188" s="2">
        <f t="shared" si="24"/>
        <v>2.246002724279835</v>
      </c>
      <c r="H188" s="2">
        <f t="shared" si="24"/>
        <v>3.369004086419753</v>
      </c>
      <c r="I188" s="2">
        <f t="shared" si="24"/>
        <v>4.514465475802469</v>
      </c>
      <c r="J188" s="2">
        <f t="shared" si="24"/>
        <v>6.738008172839506</v>
      </c>
      <c r="K188" s="2">
        <f>J188*2</f>
        <v>13.476016345679012</v>
      </c>
      <c r="L188" s="2">
        <f>J188*3</f>
        <v>20.214024518518517</v>
      </c>
      <c r="M188" s="2">
        <f>J188*4</f>
        <v>26.952032691358024</v>
      </c>
      <c r="N188" t="s">
        <v>1142</v>
      </c>
      <c r="O188">
        <f>E188/13*0.9</f>
        <v>55.38461538461539</v>
      </c>
      <c r="Q188" t="s">
        <v>491</v>
      </c>
      <c r="S188" t="s">
        <v>254</v>
      </c>
      <c r="T188" s="10">
        <f>O27*1.225</f>
        <v>3.6750000000000003</v>
      </c>
    </row>
    <row r="189" spans="7:20" ht="12.75">
      <c r="G189" s="2"/>
      <c r="H189" s="2"/>
      <c r="I189" s="2"/>
      <c r="J189" s="2"/>
      <c r="K189" s="2"/>
      <c r="L189" s="2"/>
      <c r="M189" s="2"/>
      <c r="Q189" t="s">
        <v>492</v>
      </c>
      <c r="S189" t="s">
        <v>255</v>
      </c>
      <c r="T189" s="10">
        <f>O28*1.225</f>
        <v>6.125</v>
      </c>
    </row>
    <row r="190" spans="3:17" ht="12.75">
      <c r="C190" t="s">
        <v>989</v>
      </c>
      <c r="G190" s="2"/>
      <c r="H190" s="2"/>
      <c r="I190" s="2"/>
      <c r="J190" s="2"/>
      <c r="K190" s="2"/>
      <c r="L190" s="2"/>
      <c r="M190" s="2"/>
      <c r="Q190" t="s">
        <v>493</v>
      </c>
    </row>
    <row r="191" spans="7:13" ht="12.75">
      <c r="G191" s="2"/>
      <c r="H191" s="2"/>
      <c r="I191" s="2"/>
      <c r="J191" s="2"/>
      <c r="K191" s="2"/>
      <c r="L191" s="2"/>
      <c r="M191" s="2"/>
    </row>
    <row r="192" spans="2:13" ht="12.75">
      <c r="B192" s="8" t="s">
        <v>527</v>
      </c>
      <c r="G192" s="2"/>
      <c r="H192" s="2"/>
      <c r="I192" s="2"/>
      <c r="J192" s="2"/>
      <c r="K192" s="2"/>
      <c r="L192" s="2"/>
      <c r="M192" s="2"/>
    </row>
    <row r="193" spans="2:13" ht="12.75">
      <c r="B193" s="23" t="s">
        <v>374</v>
      </c>
      <c r="G193" s="2"/>
      <c r="H193" s="2"/>
      <c r="I193" s="2"/>
      <c r="J193" s="2"/>
      <c r="K193" s="2"/>
      <c r="L193" s="2"/>
      <c r="M193" s="2"/>
    </row>
    <row r="194" spans="2:13" ht="12.75">
      <c r="B194" t="s">
        <v>516</v>
      </c>
      <c r="G194" s="2"/>
      <c r="H194" s="2"/>
      <c r="I194" s="2"/>
      <c r="J194" s="2"/>
      <c r="K194" s="2"/>
      <c r="L194" s="2"/>
      <c r="M194" s="2"/>
    </row>
    <row r="195" spans="2:13" ht="12.75">
      <c r="B195" t="s">
        <v>494</v>
      </c>
      <c r="G195" s="2"/>
      <c r="H195" s="2"/>
      <c r="I195" s="2"/>
      <c r="J195" s="2"/>
      <c r="K195" t="s">
        <v>121</v>
      </c>
      <c r="L195" s="2"/>
      <c r="M195" s="2"/>
    </row>
    <row r="196" spans="2:13" ht="12.75">
      <c r="B196" t="s">
        <v>1054</v>
      </c>
      <c r="G196" s="2"/>
      <c r="H196" s="2"/>
      <c r="I196" s="2"/>
      <c r="J196" s="2"/>
      <c r="K196" t="s">
        <v>123</v>
      </c>
      <c r="L196" s="2"/>
      <c r="M196" s="2"/>
    </row>
    <row r="197" spans="2:13" ht="12.75">
      <c r="B197" t="s">
        <v>1055</v>
      </c>
      <c r="G197" s="2"/>
      <c r="H197" s="2"/>
      <c r="I197" s="2"/>
      <c r="J197" s="2"/>
      <c r="K197" s="2" t="s">
        <v>296</v>
      </c>
      <c r="L197" s="2"/>
      <c r="M197" s="2"/>
    </row>
    <row r="198" spans="7:13" ht="12.75">
      <c r="G198" s="2"/>
      <c r="H198" s="2"/>
      <c r="I198" s="2"/>
      <c r="J198" s="2"/>
      <c r="K198" s="2"/>
      <c r="L198" s="2"/>
      <c r="M198" s="2"/>
    </row>
    <row r="199" spans="2:15" ht="12.75">
      <c r="B199" t="s">
        <v>499</v>
      </c>
      <c r="G199" s="2"/>
      <c r="H199" s="2"/>
      <c r="I199" s="2"/>
      <c r="J199" s="2"/>
      <c r="K199" s="2"/>
      <c r="L199" s="2"/>
      <c r="M199" s="2"/>
      <c r="O199" s="4"/>
    </row>
    <row r="200" ht="12.75">
      <c r="B200" t="s">
        <v>501</v>
      </c>
    </row>
    <row r="202" ht="12.75">
      <c r="B202" s="23" t="s">
        <v>1056</v>
      </c>
    </row>
    <row r="203" ht="12.75">
      <c r="B203" s="23" t="s">
        <v>1057</v>
      </c>
    </row>
    <row r="204" ht="12.75">
      <c r="B204" s="23" t="s">
        <v>1058</v>
      </c>
    </row>
    <row r="205" ht="12.75">
      <c r="B205" s="23"/>
    </row>
    <row r="206" ht="12.75">
      <c r="B206" s="23" t="s">
        <v>1059</v>
      </c>
    </row>
    <row r="207" ht="12.75">
      <c r="B207" s="23" t="s">
        <v>1060</v>
      </c>
    </row>
    <row r="210" spans="2:15" ht="12.75">
      <c r="B210" t="s">
        <v>502</v>
      </c>
      <c r="O210" t="s">
        <v>1022</v>
      </c>
    </row>
    <row r="211" ht="12.75">
      <c r="O211" t="s">
        <v>1023</v>
      </c>
    </row>
    <row r="212" spans="2:15" ht="12.75">
      <c r="B212" t="s">
        <v>528</v>
      </c>
      <c r="O212" t="s">
        <v>1024</v>
      </c>
    </row>
    <row r="213" spans="2:15" ht="12.75">
      <c r="B213" t="s">
        <v>854</v>
      </c>
      <c r="O213" t="s">
        <v>1025</v>
      </c>
    </row>
    <row r="214" ht="12.75">
      <c r="B214" t="s">
        <v>530</v>
      </c>
    </row>
    <row r="215" ht="12.75">
      <c r="B215" t="s">
        <v>533</v>
      </c>
    </row>
    <row r="216" ht="12.75">
      <c r="B216" t="s">
        <v>540</v>
      </c>
    </row>
    <row r="217" ht="12.75">
      <c r="B217" t="s">
        <v>539</v>
      </c>
    </row>
    <row r="218" ht="12.75">
      <c r="B218" t="s">
        <v>869</v>
      </c>
    </row>
    <row r="219" ht="12.75">
      <c r="B219" t="s">
        <v>541</v>
      </c>
    </row>
    <row r="221" ht="12.75">
      <c r="B221" t="s">
        <v>642</v>
      </c>
    </row>
    <row r="222" ht="12.75">
      <c r="B222" t="s">
        <v>643</v>
      </c>
    </row>
    <row r="223" ht="12.75">
      <c r="B223" t="s">
        <v>644</v>
      </c>
    </row>
    <row r="224" ht="12.75">
      <c r="B224" t="s">
        <v>647</v>
      </c>
    </row>
    <row r="225" ht="12.75">
      <c r="B225" t="s">
        <v>648</v>
      </c>
    </row>
    <row r="226" ht="12.75">
      <c r="B226" t="s">
        <v>650</v>
      </c>
    </row>
    <row r="227" ht="12.75">
      <c r="B227" t="s">
        <v>649</v>
      </c>
    </row>
    <row r="229" ht="12.75">
      <c r="A229" t="s">
        <v>855</v>
      </c>
    </row>
    <row r="230" spans="1:6" ht="12.75">
      <c r="A230" t="s">
        <v>856</v>
      </c>
      <c r="E230">
        <v>560</v>
      </c>
      <c r="F230" t="s">
        <v>201</v>
      </c>
    </row>
    <row r="231" spans="1:6" ht="12.75">
      <c r="A231" t="s">
        <v>860</v>
      </c>
      <c r="E231">
        <v>290</v>
      </c>
      <c r="F231" t="s">
        <v>201</v>
      </c>
    </row>
    <row r="232" spans="1:6" ht="12.75">
      <c r="A232" t="s">
        <v>861</v>
      </c>
      <c r="E232">
        <v>500</v>
      </c>
      <c r="F232" t="s">
        <v>201</v>
      </c>
    </row>
    <row r="233" spans="1:6" ht="12.75">
      <c r="A233" t="s">
        <v>862</v>
      </c>
      <c r="E233">
        <v>38</v>
      </c>
      <c r="F233" t="s">
        <v>201</v>
      </c>
    </row>
    <row r="234" spans="1:6" ht="12.75">
      <c r="A234" t="s">
        <v>864</v>
      </c>
      <c r="E234">
        <v>8</v>
      </c>
      <c r="F234" t="s">
        <v>201</v>
      </c>
    </row>
    <row r="236" spans="1:7" ht="12.75">
      <c r="A236" t="s">
        <v>865</v>
      </c>
      <c r="E236">
        <f>SUM(E230:E235)</f>
        <v>1396</v>
      </c>
      <c r="F236" t="s">
        <v>201</v>
      </c>
      <c r="G236" t="s">
        <v>866</v>
      </c>
    </row>
    <row r="238" spans="1:16" ht="12.75">
      <c r="A238" t="s">
        <v>375</v>
      </c>
      <c r="P238" t="s">
        <v>376</v>
      </c>
    </row>
    <row r="239" ht="12.75">
      <c r="P239" t="s">
        <v>386</v>
      </c>
    </row>
    <row r="240" ht="12.75">
      <c r="P240" t="s">
        <v>387</v>
      </c>
    </row>
    <row r="241" ht="12.75">
      <c r="P241" t="s">
        <v>388</v>
      </c>
    </row>
    <row r="242" spans="1:16" ht="12.75">
      <c r="A242" t="s">
        <v>1076</v>
      </c>
      <c r="P242" t="s">
        <v>392</v>
      </c>
    </row>
    <row r="243" spans="1:16" ht="12.75">
      <c r="A243" t="s">
        <v>1027</v>
      </c>
      <c r="P243" t="s">
        <v>393</v>
      </c>
    </row>
    <row r="244" spans="1:16" ht="12.75">
      <c r="A244" t="s">
        <v>1068</v>
      </c>
      <c r="P244" t="s">
        <v>394</v>
      </c>
    </row>
    <row r="245" spans="1:16" ht="12.75">
      <c r="A245" t="s">
        <v>1071</v>
      </c>
      <c r="P245" t="s">
        <v>395</v>
      </c>
    </row>
    <row r="246" spans="1:16" ht="12.75">
      <c r="A246" t="s">
        <v>1075</v>
      </c>
      <c r="P246" t="s">
        <v>396</v>
      </c>
    </row>
    <row r="247" spans="1:16" ht="12.75">
      <c r="A247" t="s">
        <v>1073</v>
      </c>
      <c r="P247" t="s">
        <v>397</v>
      </c>
    </row>
    <row r="248" ht="12.75">
      <c r="A248" t="s">
        <v>1061</v>
      </c>
    </row>
    <row r="249" ht="12.75">
      <c r="A249" t="s">
        <v>1077</v>
      </c>
    </row>
    <row r="251" ht="12.75">
      <c r="A251" s="48" t="s">
        <v>1036</v>
      </c>
    </row>
    <row r="252" ht="12.75">
      <c r="A252" s="48" t="s">
        <v>1065</v>
      </c>
    </row>
    <row r="253" ht="12.75">
      <c r="A253" s="48" t="s">
        <v>1067</v>
      </c>
    </row>
    <row r="255" spans="1:2" ht="12.75">
      <c r="A255" s="51" t="s">
        <v>677</v>
      </c>
      <c r="B255" t="s">
        <v>1184</v>
      </c>
    </row>
    <row r="256" ht="12.75">
      <c r="B256" t="s">
        <v>678</v>
      </c>
    </row>
    <row r="257" ht="12.75">
      <c r="B257" t="s">
        <v>679</v>
      </c>
    </row>
    <row r="258" ht="12.75">
      <c r="B258" t="s">
        <v>680</v>
      </c>
    </row>
    <row r="259" ht="12.75">
      <c r="B259" t="s">
        <v>681</v>
      </c>
    </row>
    <row r="260" ht="12.75">
      <c r="B260" t="s">
        <v>682</v>
      </c>
    </row>
    <row r="261" ht="12.75">
      <c r="B261" t="s">
        <v>683</v>
      </c>
    </row>
    <row r="262" ht="12.75">
      <c r="B262" t="s">
        <v>685</v>
      </c>
    </row>
    <row r="263" ht="12.75">
      <c r="B263" t="s">
        <v>1185</v>
      </c>
    </row>
    <row r="265" spans="1:10" ht="12.75">
      <c r="A265" s="24" t="s">
        <v>772</v>
      </c>
      <c r="B265" t="s">
        <v>754</v>
      </c>
      <c r="J265" t="s">
        <v>773</v>
      </c>
    </row>
    <row r="266" spans="1:10" ht="12.75">
      <c r="A266" t="s">
        <v>765</v>
      </c>
      <c r="J266" t="s">
        <v>774</v>
      </c>
    </row>
    <row r="267" spans="1:10" ht="12.75">
      <c r="A267" t="s">
        <v>766</v>
      </c>
      <c r="B267" t="s">
        <v>755</v>
      </c>
      <c r="J267" t="s">
        <v>775</v>
      </c>
    </row>
    <row r="268" spans="1:2" ht="12.75">
      <c r="A268" t="s">
        <v>767</v>
      </c>
      <c r="B268" t="s">
        <v>756</v>
      </c>
    </row>
    <row r="269" spans="1:2" ht="12.75">
      <c r="A269" t="s">
        <v>768</v>
      </c>
      <c r="B269" t="s">
        <v>757</v>
      </c>
    </row>
    <row r="270" spans="1:2" ht="12.75">
      <c r="A270" t="s">
        <v>769</v>
      </c>
      <c r="B270" t="s">
        <v>758</v>
      </c>
    </row>
    <row r="271" spans="1:2" ht="12.75">
      <c r="A271" t="s">
        <v>770</v>
      </c>
      <c r="B271" t="s">
        <v>759</v>
      </c>
    </row>
    <row r="272" spans="1:2" ht="12.75">
      <c r="A272" t="s">
        <v>771</v>
      </c>
      <c r="B272" t="s">
        <v>761</v>
      </c>
    </row>
    <row r="273" ht="12.75">
      <c r="B273" t="s">
        <v>762</v>
      </c>
    </row>
    <row r="274" ht="12.75">
      <c r="B274" t="s">
        <v>763</v>
      </c>
    </row>
    <row r="275" ht="12.75">
      <c r="B275" t="s">
        <v>764</v>
      </c>
    </row>
    <row r="278" ht="12.75">
      <c r="A278" t="s">
        <v>114</v>
      </c>
    </row>
    <row r="279" spans="1:3" ht="12.75">
      <c r="A279" s="55">
        <v>43676</v>
      </c>
      <c r="C279" t="s">
        <v>459</v>
      </c>
    </row>
    <row r="280" ht="12.75">
      <c r="C280" t="s">
        <v>460</v>
      </c>
    </row>
    <row r="281" ht="12.75">
      <c r="C281" t="s">
        <v>461</v>
      </c>
    </row>
    <row r="283" spans="1:3" ht="12.75">
      <c r="A283" s="55">
        <v>43591</v>
      </c>
      <c r="C283" t="s">
        <v>115</v>
      </c>
    </row>
    <row r="285" ht="12.75">
      <c r="A285" s="55">
        <v>44796</v>
      </c>
    </row>
    <row r="309" ht="12.75">
      <c r="A309" t="s">
        <v>20</v>
      </c>
    </row>
  </sheetData>
  <sheetProtection/>
  <conditionalFormatting sqref="G37:M37">
    <cfRule type="expression" priority="1" dxfId="0" stopIfTrue="1">
      <formula>G33&lt;=$O$18</formula>
    </cfRule>
    <cfRule type="expression" priority="2" dxfId="4" stopIfTrue="1">
      <formula>G33&gt;$O$18</formula>
    </cfRule>
  </conditionalFormatting>
  <conditionalFormatting sqref="G67:M67">
    <cfRule type="expression" priority="3" dxfId="0" stopIfTrue="1">
      <formula>G33&lt;=$O$18</formula>
    </cfRule>
    <cfRule type="expression" priority="4" dxfId="4" stopIfTrue="1">
      <formula>G33&gt;$O$18</formula>
    </cfRule>
  </conditionalFormatting>
  <conditionalFormatting sqref="H183:N183">
    <cfRule type="cellIs" priority="5" dxfId="4" operator="greaterThan" stopIfTrue="1">
      <formula>$O$27</formula>
    </cfRule>
  </conditionalFormatting>
  <conditionalFormatting sqref="G185:M185 G187:M187">
    <cfRule type="cellIs" priority="6" dxfId="5" operator="lessThanOrEqual" stopIfTrue="1">
      <formula>$T$188</formula>
    </cfRule>
    <cfRule type="cellIs" priority="7" dxfId="10" operator="greaterThan" stopIfTrue="1">
      <formula>$T$188</formula>
    </cfRule>
  </conditionalFormatting>
  <conditionalFormatting sqref="G186:M186 G188:M188">
    <cfRule type="cellIs" priority="8" dxfId="5" operator="lessThanOrEqual" stopIfTrue="1">
      <formula>$T$189</formula>
    </cfRule>
    <cfRule type="cellIs" priority="9" dxfId="10" operator="greaterThan" stopIfTrue="1">
      <formula>$T$189</formula>
    </cfRule>
  </conditionalFormatting>
  <conditionalFormatting sqref="G64:M66">
    <cfRule type="cellIs" priority="10" dxfId="0" operator="lessThan" stopIfTrue="1">
      <formula>24</formula>
    </cfRule>
    <cfRule type="cellIs" priority="11" dxfId="4" operator="greaterThanOrEqual" stopIfTrue="1">
      <formula>24</formula>
    </cfRule>
  </conditionalFormatting>
  <conditionalFormatting sqref="G63:M63">
    <cfRule type="cellIs" priority="12" dxfId="0" operator="lessThanOrEqual" stopIfTrue="1">
      <formula>$O$28</formula>
    </cfRule>
    <cfRule type="cellIs" priority="13" dxfId="4" operator="greaterThan" stopIfTrue="1">
      <formula>$O$28</formula>
    </cfRule>
  </conditionalFormatting>
  <conditionalFormatting sqref="G45:N46 G41:J42 G61:N62 K41:L44 G49:N50 G53:N54 G57:N58 M41:N42">
    <cfRule type="cellIs" priority="14" dxfId="0" operator="lessThanOrEqual" stopIfTrue="1">
      <formula>$O$28</formula>
    </cfRule>
    <cfRule type="cellIs" priority="15" dxfId="12" operator="greaterThan" stopIfTrue="1">
      <formula>$O$28</formula>
    </cfRule>
  </conditionalFormatting>
  <conditionalFormatting sqref="G39:N40 G47:N48 G43:J44 M43:N44 G51:N52 G55:N56 G59:N60">
    <cfRule type="cellIs" priority="16" dxfId="0" operator="lessThanOrEqual" stopIfTrue="1">
      <formula>$O$27</formula>
    </cfRule>
    <cfRule type="cellIs" priority="17" dxfId="10" operator="greaterThan" stopIfTrue="1">
      <formula>$O$27</formula>
    </cfRule>
  </conditionalFormatting>
  <conditionalFormatting sqref="G33:M33">
    <cfRule type="cellIs" priority="18" dxfId="4" operator="greaterThan" stopIfTrue="1">
      <formula>$O$18</formula>
    </cfRule>
    <cfRule type="cellIs" priority="19" dxfId="5" operator="lessThanOrEqual" stopIfTrue="1">
      <formula>$O$18</formula>
    </cfRule>
  </conditionalFormatting>
  <conditionalFormatting sqref="B32">
    <cfRule type="cellIs" priority="20" dxfId="4" operator="greaterThan" stopIfTrue="1">
      <formula>$O$20</formula>
    </cfRule>
  </conditionalFormatting>
  <conditionalFormatting sqref="G34:M34">
    <cfRule type="cellIs" priority="21" dxfId="4" operator="greaterThan" stopIfTrue="1">
      <formula>$E$34</formula>
    </cfRule>
  </conditionalFormatting>
  <conditionalFormatting sqref="G35:M35">
    <cfRule type="cellIs" priority="22" dxfId="5" operator="lessThanOrEqual" stopIfTrue="1">
      <formula>20</formula>
    </cfRule>
    <cfRule type="cellIs" priority="23" dxfId="4" operator="between" stopIfTrue="1">
      <formula>50</formula>
      <formula>80</formula>
    </cfRule>
    <cfRule type="cellIs" priority="24" dxfId="3" operator="greaterThan" stopIfTrue="1">
      <formula>80</formula>
    </cfRule>
  </conditionalFormatting>
  <conditionalFormatting sqref="E39 E43 E47 E51 E55 E59">
    <cfRule type="cellIs" priority="25" dxfId="0" operator="greaterThanOrEqual" stopIfTrue="1">
      <formula>$T$27</formula>
    </cfRule>
  </conditionalFormatting>
  <conditionalFormatting sqref="E41 E45 E49 E53 E57 E61 F42 F46 F50 F54 F58 F62">
    <cfRule type="cellIs" priority="26" dxfId="0" operator="greaterThanOrEqual" stopIfTrue="1">
      <formula>$T$28</formula>
    </cfRule>
  </conditionalFormatting>
  <conditionalFormatting sqref="F40 F44 F48 F52 F56 F60">
    <cfRule type="cellIs" priority="27" dxfId="0" operator="greaterThanOrEqual" stopIfTrue="1">
      <formula>$T$27</formula>
    </cfRule>
  </conditionalFormatting>
  <conditionalFormatting sqref="O24">
    <cfRule type="expression" priority="28" dxfId="187" stopIfTrue="1">
      <formula>"u23&lt;24"</formula>
    </cfRule>
  </conditionalFormatting>
  <conditionalFormatting sqref="U25">
    <cfRule type="expression" priority="29" dxfId="186" stopIfTrue="1">
      <formula>"u23&lt;24"</formula>
    </cfRule>
  </conditionalFormatting>
  <conditionalFormatting sqref="U24">
    <cfRule type="cellIs" priority="30" dxfId="185" operator="lessThan" stopIfTrue="1">
      <formula>24</formula>
    </cfRule>
  </conditionalFormatting>
  <hyperlinks>
    <hyperlink ref="M146" r:id="rId1" display="http://www.solarelectricityhandbook.com/solar-irradiance.aspx"/>
  </hyperlinks>
  <printOptions/>
  <pageMargins left="0.75" right="0.75" top="1" bottom="1" header="0.5" footer="0.5"/>
  <pageSetup orientation="portrait" r:id="rId2"/>
  <ignoredErrors>
    <ignoredError sqref="Q41 Q45 Q48:Q49 Q52:Q53 Q56:Q57 Q60:Q61 G41:H41 I41 G43:I43 Q44 G45:I61 J41:J61" formula="1"/>
  </ignoredErrors>
</worksheet>
</file>

<file path=xl/worksheets/sheet3.xml><?xml version="1.0" encoding="utf-8"?>
<worksheet xmlns="http://schemas.openxmlformats.org/spreadsheetml/2006/main" xmlns:r="http://schemas.openxmlformats.org/officeDocument/2006/relationships">
  <sheetPr>
    <tabColor indexed="47"/>
  </sheetPr>
  <dimension ref="A1:Y102"/>
  <sheetViews>
    <sheetView zoomScalePageLayoutView="0" workbookViewId="0" topLeftCell="A1">
      <selection activeCell="F2" sqref="F2"/>
    </sheetView>
  </sheetViews>
  <sheetFormatPr defaultColWidth="9.140625" defaultRowHeight="12.75"/>
  <cols>
    <col min="1" max="1" width="18.7109375" style="0" customWidth="1"/>
    <col min="4" max="4" width="7.8515625" style="0" customWidth="1"/>
    <col min="5" max="5" width="8.140625" style="0" customWidth="1"/>
    <col min="6" max="6" width="6.8515625" style="0" customWidth="1"/>
    <col min="7" max="7" width="7.57421875" style="0" customWidth="1"/>
    <col min="8" max="10" width="8.00390625" style="0" customWidth="1"/>
    <col min="11" max="11" width="7.8515625" style="0" customWidth="1"/>
    <col min="12" max="13" width="8.28125" style="0" customWidth="1"/>
    <col min="14" max="14" width="1.7109375" style="0" customWidth="1"/>
    <col min="15" max="16" width="5.421875" style="0" customWidth="1"/>
    <col min="17" max="17" width="6.8515625" style="0" customWidth="1"/>
    <col min="23" max="23" width="11.421875" style="0" bestFit="1" customWidth="1"/>
  </cols>
  <sheetData>
    <row r="1" spans="1:7" ht="12.75">
      <c r="A1" s="50" t="s">
        <v>676</v>
      </c>
      <c r="G1" s="8" t="s">
        <v>1047</v>
      </c>
    </row>
    <row r="2" spans="1:25" ht="28.5" customHeight="1">
      <c r="A2" s="18" t="s">
        <v>1078</v>
      </c>
      <c r="B2" s="18" t="s">
        <v>1079</v>
      </c>
      <c r="C2" s="18" t="s">
        <v>1043</v>
      </c>
      <c r="D2" s="18" t="s">
        <v>1044</v>
      </c>
      <c r="E2" s="18" t="s">
        <v>1045</v>
      </c>
      <c r="F2" s="18" t="s">
        <v>425</v>
      </c>
      <c r="G2" s="18" t="s">
        <v>1038</v>
      </c>
      <c r="H2" s="18" t="s">
        <v>1039</v>
      </c>
      <c r="I2" s="18" t="s">
        <v>1040</v>
      </c>
      <c r="J2" s="18" t="s">
        <v>1041</v>
      </c>
      <c r="K2" s="18" t="s">
        <v>967</v>
      </c>
      <c r="L2" s="18" t="s">
        <v>968</v>
      </c>
      <c r="M2" s="18" t="s">
        <v>1042</v>
      </c>
      <c r="N2" s="18"/>
      <c r="O2" s="18" t="s">
        <v>503</v>
      </c>
      <c r="P2" s="18" t="s">
        <v>509</v>
      </c>
      <c r="Q2" s="18" t="s">
        <v>130</v>
      </c>
      <c r="R2" s="59" t="s">
        <v>1062</v>
      </c>
      <c r="S2" s="58"/>
      <c r="T2" s="58"/>
      <c r="U2" s="58"/>
      <c r="V2" s="57"/>
      <c r="W2" s="100" t="s">
        <v>114</v>
      </c>
      <c r="X2" s="57"/>
      <c r="Y2" s="57"/>
    </row>
    <row r="3" spans="1:23" ht="12.75">
      <c r="A3" s="18" t="s">
        <v>1020</v>
      </c>
      <c r="B3" s="18"/>
      <c r="C3" s="18"/>
      <c r="D3" s="18"/>
      <c r="E3" s="18"/>
      <c r="F3" s="18"/>
      <c r="G3" s="108">
        <v>8</v>
      </c>
      <c r="H3" s="18"/>
      <c r="I3" s="18"/>
      <c r="J3" s="18"/>
      <c r="K3" s="18"/>
      <c r="L3" s="18"/>
      <c r="M3" s="108">
        <v>7</v>
      </c>
      <c r="N3" s="44"/>
      <c r="R3" s="60" t="s">
        <v>1063</v>
      </c>
      <c r="W3" s="101">
        <v>45213</v>
      </c>
    </row>
    <row r="4" spans="1:18" ht="12.75">
      <c r="A4" s="64" t="s">
        <v>402</v>
      </c>
      <c r="C4" s="2">
        <f aca="true" t="shared" si="0" ref="C4:C9">B4/($R$18/100)/12</f>
        <v>0</v>
      </c>
      <c r="D4" s="2">
        <v>5.4</v>
      </c>
      <c r="E4" s="2">
        <f aca="true" t="shared" si="1" ref="E4:E30">C4*D4</f>
        <v>0</v>
      </c>
      <c r="F4" s="4">
        <f aca="true" t="shared" si="2" ref="F4:F9">(B4*D4)/0.9</f>
        <v>0</v>
      </c>
      <c r="G4" s="2">
        <f aca="true" t="shared" si="3" ref="G4:G30">J4*(G$3/24)</f>
        <v>0</v>
      </c>
      <c r="H4" s="2">
        <f aca="true" t="shared" si="4" ref="H4:H30">J4*0.5</f>
        <v>0</v>
      </c>
      <c r="I4" s="2">
        <f aca="true" t="shared" si="5" ref="I4:I30">J4*0.67</f>
        <v>0</v>
      </c>
      <c r="J4" s="2">
        <f aca="true" t="shared" si="6" ref="J4:J30">E4*2</f>
        <v>0</v>
      </c>
      <c r="K4" s="2">
        <f aca="true" t="shared" si="7" ref="K4:K30">J4*2</f>
        <v>0</v>
      </c>
      <c r="L4" s="2">
        <f aca="true" t="shared" si="8" ref="L4:L30">J4*3</f>
        <v>0</v>
      </c>
      <c r="M4" s="2">
        <f aca="true" t="shared" si="9" ref="M4:M30">J4*M$3</f>
        <v>0</v>
      </c>
      <c r="N4" s="2"/>
      <c r="R4" s="8" t="s">
        <v>295</v>
      </c>
    </row>
    <row r="5" spans="1:23" ht="12.75">
      <c r="A5" s="65" t="s">
        <v>1109</v>
      </c>
      <c r="B5">
        <v>76</v>
      </c>
      <c r="C5" s="2">
        <f t="shared" si="0"/>
        <v>7.450980392156864</v>
      </c>
      <c r="D5" s="2">
        <v>24</v>
      </c>
      <c r="E5" s="2">
        <f t="shared" si="1"/>
        <v>178.82352941176472</v>
      </c>
      <c r="F5" s="4">
        <f t="shared" si="2"/>
        <v>2026.6666666666665</v>
      </c>
      <c r="G5" s="2">
        <f t="shared" si="3"/>
        <v>119.2156862745098</v>
      </c>
      <c r="H5" s="2">
        <f t="shared" si="4"/>
        <v>178.82352941176472</v>
      </c>
      <c r="I5" s="2">
        <f t="shared" si="5"/>
        <v>239.62352941176474</v>
      </c>
      <c r="J5" s="2">
        <f t="shared" si="6"/>
        <v>357.64705882352945</v>
      </c>
      <c r="K5" s="2">
        <f t="shared" si="7"/>
        <v>715.2941176470589</v>
      </c>
      <c r="L5" s="2">
        <f t="shared" si="8"/>
        <v>1072.9411764705883</v>
      </c>
      <c r="M5" s="2">
        <f t="shared" si="9"/>
        <v>2503.5294117647063</v>
      </c>
      <c r="N5" s="2"/>
      <c r="O5">
        <f>IF(B5=0,0,560)</f>
        <v>560</v>
      </c>
      <c r="P5">
        <v>560</v>
      </c>
      <c r="Q5" s="2">
        <f aca="true" t="shared" si="10" ref="Q5:Q10">O5/($R$18/100)/12</f>
        <v>54.90196078431373</v>
      </c>
      <c r="R5" s="8" t="s">
        <v>297</v>
      </c>
      <c r="W5" t="s">
        <v>975</v>
      </c>
    </row>
    <row r="6" spans="1:23" ht="12.75">
      <c r="A6" s="66" t="s">
        <v>974</v>
      </c>
      <c r="C6" s="2">
        <f t="shared" si="0"/>
        <v>0</v>
      </c>
      <c r="D6" s="2">
        <v>24</v>
      </c>
      <c r="E6" s="2">
        <f t="shared" si="1"/>
        <v>0</v>
      </c>
      <c r="F6" s="4">
        <f t="shared" si="2"/>
        <v>0</v>
      </c>
      <c r="G6" s="2">
        <f t="shared" si="3"/>
        <v>0</v>
      </c>
      <c r="H6" s="2">
        <f t="shared" si="4"/>
        <v>0</v>
      </c>
      <c r="I6" s="2">
        <f t="shared" si="5"/>
        <v>0</v>
      </c>
      <c r="J6" s="2">
        <f t="shared" si="6"/>
        <v>0</v>
      </c>
      <c r="K6" s="2">
        <f t="shared" si="7"/>
        <v>0</v>
      </c>
      <c r="L6" s="2">
        <f t="shared" si="8"/>
        <v>0</v>
      </c>
      <c r="M6" s="2">
        <f t="shared" si="9"/>
        <v>0</v>
      </c>
      <c r="N6" s="2"/>
      <c r="O6">
        <f>IF(B6=0,0,290)</f>
        <v>0</v>
      </c>
      <c r="P6">
        <f>IF(B6=0,0,B6*10)</f>
        <v>0</v>
      </c>
      <c r="Q6" s="2">
        <f t="shared" si="10"/>
        <v>0</v>
      </c>
      <c r="R6" s="8" t="s">
        <v>1193</v>
      </c>
      <c r="W6" t="s">
        <v>976</v>
      </c>
    </row>
    <row r="7" spans="1:18" ht="12.75">
      <c r="A7" s="67" t="s">
        <v>456</v>
      </c>
      <c r="B7">
        <v>14</v>
      </c>
      <c r="C7" s="2">
        <f t="shared" si="0"/>
        <v>1.3725490196078434</v>
      </c>
      <c r="D7" s="2">
        <v>24</v>
      </c>
      <c r="E7" s="2">
        <f t="shared" si="1"/>
        <v>32.94117647058824</v>
      </c>
      <c r="F7" s="4">
        <f t="shared" si="2"/>
        <v>373.3333333333333</v>
      </c>
      <c r="G7" s="2">
        <f t="shared" si="3"/>
        <v>21.96078431372549</v>
      </c>
      <c r="H7" s="2">
        <f t="shared" si="4"/>
        <v>32.94117647058824</v>
      </c>
      <c r="I7" s="2">
        <f t="shared" si="5"/>
        <v>44.14117647058824</v>
      </c>
      <c r="J7" s="2">
        <f t="shared" si="6"/>
        <v>65.88235294117648</v>
      </c>
      <c r="K7" s="2">
        <f t="shared" si="7"/>
        <v>131.76470588235296</v>
      </c>
      <c r="L7" s="2">
        <f t="shared" si="8"/>
        <v>197.64705882352945</v>
      </c>
      <c r="M7" s="2">
        <f t="shared" si="9"/>
        <v>461.17647058823536</v>
      </c>
      <c r="N7" s="2"/>
      <c r="O7">
        <v>14</v>
      </c>
      <c r="P7">
        <f>B7</f>
        <v>14</v>
      </c>
      <c r="Q7" s="2">
        <f t="shared" si="10"/>
        <v>1.3725490196078434</v>
      </c>
      <c r="R7" s="8" t="s">
        <v>1192</v>
      </c>
    </row>
    <row r="8" spans="1:23" ht="12.75">
      <c r="A8" t="s">
        <v>891</v>
      </c>
      <c r="B8">
        <v>16</v>
      </c>
      <c r="C8" s="2">
        <f t="shared" si="0"/>
        <v>1.5686274509803921</v>
      </c>
      <c r="D8" s="2">
        <v>24</v>
      </c>
      <c r="E8" s="2">
        <f t="shared" si="1"/>
        <v>37.64705882352941</v>
      </c>
      <c r="F8" s="4">
        <f t="shared" si="2"/>
        <v>426.66666666666663</v>
      </c>
      <c r="G8" s="2">
        <f t="shared" si="3"/>
        <v>25.098039215686274</v>
      </c>
      <c r="H8" s="2">
        <f t="shared" si="4"/>
        <v>37.64705882352941</v>
      </c>
      <c r="I8" s="2">
        <f t="shared" si="5"/>
        <v>50.44705882352942</v>
      </c>
      <c r="J8" s="2">
        <f t="shared" si="6"/>
        <v>75.29411764705883</v>
      </c>
      <c r="K8" s="2">
        <f t="shared" si="7"/>
        <v>150.58823529411765</v>
      </c>
      <c r="L8" s="2">
        <f t="shared" si="8"/>
        <v>225.88235294117646</v>
      </c>
      <c r="M8" s="2">
        <f t="shared" si="9"/>
        <v>527.0588235294118</v>
      </c>
      <c r="N8" s="2"/>
      <c r="O8">
        <v>16</v>
      </c>
      <c r="P8">
        <f>B8</f>
        <v>16</v>
      </c>
      <c r="Q8" s="2">
        <f t="shared" si="10"/>
        <v>1.5686274509803921</v>
      </c>
      <c r="R8" s="8" t="s">
        <v>1195</v>
      </c>
      <c r="W8" t="s">
        <v>980</v>
      </c>
    </row>
    <row r="9" spans="1:18" ht="12.75">
      <c r="A9" t="s">
        <v>894</v>
      </c>
      <c r="B9">
        <v>20</v>
      </c>
      <c r="C9" s="2">
        <f t="shared" si="0"/>
        <v>1.9607843137254903</v>
      </c>
      <c r="D9" s="2">
        <v>24</v>
      </c>
      <c r="E9" s="2">
        <f t="shared" si="1"/>
        <v>47.05882352941177</v>
      </c>
      <c r="F9" s="4">
        <f t="shared" si="2"/>
        <v>533.3333333333334</v>
      </c>
      <c r="G9" s="2">
        <f t="shared" si="3"/>
        <v>31.372549019607845</v>
      </c>
      <c r="H9" s="2">
        <f t="shared" si="4"/>
        <v>47.05882352941177</v>
      </c>
      <c r="I9" s="2">
        <f t="shared" si="5"/>
        <v>63.058823529411775</v>
      </c>
      <c r="J9" s="2">
        <f t="shared" si="6"/>
        <v>94.11764705882354</v>
      </c>
      <c r="K9" s="2">
        <f t="shared" si="7"/>
        <v>188.23529411764707</v>
      </c>
      <c r="L9" s="2">
        <f t="shared" si="8"/>
        <v>282.3529411764706</v>
      </c>
      <c r="M9" s="2">
        <f t="shared" si="9"/>
        <v>658.8235294117648</v>
      </c>
      <c r="N9" s="2"/>
      <c r="O9">
        <v>20</v>
      </c>
      <c r="P9">
        <f>B9</f>
        <v>20</v>
      </c>
      <c r="Q9" s="2">
        <f t="shared" si="10"/>
        <v>1.9607843137254903</v>
      </c>
      <c r="R9" s="8" t="s">
        <v>1194</v>
      </c>
    </row>
    <row r="10" spans="1:18" ht="12.75">
      <c r="A10" s="28" t="s">
        <v>398</v>
      </c>
      <c r="B10" t="s">
        <v>1084</v>
      </c>
      <c r="C10" s="49">
        <f>IF(B32&gt;80,MAX(0,(1-B32/400)*R20),R20)</f>
        <v>0.30119999999999997</v>
      </c>
      <c r="D10" s="2">
        <v>24</v>
      </c>
      <c r="E10" s="2">
        <f t="shared" si="1"/>
        <v>7.2288</v>
      </c>
      <c r="F10" s="4">
        <f>E10*12.6</f>
        <v>91.08287999999999</v>
      </c>
      <c r="G10" s="2">
        <f t="shared" si="3"/>
        <v>4.8191999999999995</v>
      </c>
      <c r="H10" s="2">
        <f t="shared" si="4"/>
        <v>7.2288</v>
      </c>
      <c r="I10" s="2">
        <f t="shared" si="5"/>
        <v>9.686592000000001</v>
      </c>
      <c r="J10" s="2">
        <f t="shared" si="6"/>
        <v>14.4576</v>
      </c>
      <c r="K10" s="2">
        <f t="shared" si="7"/>
        <v>28.9152</v>
      </c>
      <c r="L10" s="2">
        <f t="shared" si="8"/>
        <v>43.3728</v>
      </c>
      <c r="M10" s="2">
        <f t="shared" si="9"/>
        <v>101.2032</v>
      </c>
      <c r="N10" s="2"/>
      <c r="Q10" s="2">
        <f t="shared" si="10"/>
        <v>0</v>
      </c>
      <c r="R10" s="8" t="s">
        <v>107</v>
      </c>
    </row>
    <row r="11" spans="1:18" ht="12.75">
      <c r="A11" t="s">
        <v>250</v>
      </c>
      <c r="B11" t="s">
        <v>1084</v>
      </c>
      <c r="C11" s="2"/>
      <c r="D11" s="2">
        <v>24</v>
      </c>
      <c r="E11" s="2">
        <f t="shared" si="1"/>
        <v>0</v>
      </c>
      <c r="F11" s="4">
        <f>IF(B11&lt;&gt;"n/a",((B11*D11)/0.9),E11*12.6)</f>
        <v>0</v>
      </c>
      <c r="G11" s="2">
        <f t="shared" si="3"/>
        <v>0</v>
      </c>
      <c r="H11" s="2">
        <f t="shared" si="4"/>
        <v>0</v>
      </c>
      <c r="I11" s="2">
        <f t="shared" si="5"/>
        <v>0</v>
      </c>
      <c r="J11" s="2">
        <f t="shared" si="6"/>
        <v>0</v>
      </c>
      <c r="K11" s="2">
        <f t="shared" si="7"/>
        <v>0</v>
      </c>
      <c r="L11" s="2">
        <f t="shared" si="8"/>
        <v>0</v>
      </c>
      <c r="M11" s="2">
        <f t="shared" si="9"/>
        <v>0</v>
      </c>
      <c r="N11" s="2"/>
      <c r="Q11" s="2">
        <f>C11</f>
        <v>0</v>
      </c>
      <c r="R11" s="8" t="s">
        <v>0</v>
      </c>
    </row>
    <row r="12" spans="1:23" ht="12.75">
      <c r="A12" s="27" t="s">
        <v>63</v>
      </c>
      <c r="B12">
        <v>16</v>
      </c>
      <c r="C12" s="2">
        <f aca="true" t="shared" si="11" ref="C12:C27">B12/($R$18/100)/12</f>
        <v>1.5686274509803921</v>
      </c>
      <c r="D12" s="2">
        <v>12</v>
      </c>
      <c r="E12" s="2">
        <f t="shared" si="1"/>
        <v>18.823529411764707</v>
      </c>
      <c r="F12" s="4">
        <f aca="true" t="shared" si="12" ref="F12:F25">(B12*D12)/0.9</f>
        <v>213.33333333333331</v>
      </c>
      <c r="G12" s="2">
        <f t="shared" si="3"/>
        <v>12.549019607843137</v>
      </c>
      <c r="H12" s="2">
        <f t="shared" si="4"/>
        <v>18.823529411764707</v>
      </c>
      <c r="I12" s="2">
        <f t="shared" si="5"/>
        <v>25.22352941176471</v>
      </c>
      <c r="J12" s="2">
        <f t="shared" si="6"/>
        <v>37.64705882352941</v>
      </c>
      <c r="K12" s="2">
        <f t="shared" si="7"/>
        <v>75.29411764705883</v>
      </c>
      <c r="L12" s="2">
        <f t="shared" si="8"/>
        <v>112.94117647058823</v>
      </c>
      <c r="M12" s="2">
        <f t="shared" si="9"/>
        <v>263.5294117647059</v>
      </c>
      <c r="N12" s="2"/>
      <c r="O12">
        <f>IF(B12=0,0,60)</f>
        <v>60</v>
      </c>
      <c r="P12">
        <f>IF(B12=0,0,60)</f>
        <v>60</v>
      </c>
      <c r="Q12" s="2">
        <f aca="true" t="shared" si="13" ref="Q12:Q25">O12/($R$18/100)/12</f>
        <v>5.882352941176471</v>
      </c>
      <c r="R12" s="8" t="s">
        <v>110</v>
      </c>
      <c r="W12" t="s">
        <v>977</v>
      </c>
    </row>
    <row r="13" spans="1:23" ht="12.75">
      <c r="A13" t="s">
        <v>1189</v>
      </c>
      <c r="B13">
        <v>89</v>
      </c>
      <c r="C13" s="2">
        <f t="shared" si="11"/>
        <v>8.72549019607843</v>
      </c>
      <c r="D13" s="2">
        <v>4</v>
      </c>
      <c r="E13" s="2">
        <f t="shared" si="1"/>
        <v>34.90196078431372</v>
      </c>
      <c r="F13" s="4">
        <f t="shared" si="12"/>
        <v>395.55555555555554</v>
      </c>
      <c r="G13" s="2">
        <f t="shared" si="3"/>
        <v>23.267973856209146</v>
      </c>
      <c r="H13" s="2">
        <f t="shared" si="4"/>
        <v>34.90196078431372</v>
      </c>
      <c r="I13" s="2">
        <f t="shared" si="5"/>
        <v>46.76862745098039</v>
      </c>
      <c r="J13" s="2">
        <f t="shared" si="6"/>
        <v>69.80392156862744</v>
      </c>
      <c r="K13" s="2">
        <f t="shared" si="7"/>
        <v>139.6078431372549</v>
      </c>
      <c r="L13" s="2">
        <f t="shared" si="8"/>
        <v>209.41176470588232</v>
      </c>
      <c r="M13" s="2">
        <f t="shared" si="9"/>
        <v>488.6274509803921</v>
      </c>
      <c r="N13" s="2"/>
      <c r="O13">
        <f>IF(B13=0,0,200)</f>
        <v>200</v>
      </c>
      <c r="P13">
        <f>IF(B13=0,0,200)</f>
        <v>200</v>
      </c>
      <c r="Q13" s="2">
        <f t="shared" si="13"/>
        <v>19.607843137254903</v>
      </c>
      <c r="R13" s="8" t="s">
        <v>122</v>
      </c>
      <c r="W13" t="s">
        <v>978</v>
      </c>
    </row>
    <row r="14" spans="1:23" ht="12.75">
      <c r="A14" s="27" t="s">
        <v>168</v>
      </c>
      <c r="B14">
        <v>9</v>
      </c>
      <c r="C14" s="2">
        <f t="shared" si="11"/>
        <v>0.8823529411764706</v>
      </c>
      <c r="D14" s="2">
        <v>6</v>
      </c>
      <c r="E14" s="2">
        <f t="shared" si="1"/>
        <v>5.294117647058823</v>
      </c>
      <c r="F14" s="4">
        <f t="shared" si="12"/>
        <v>60</v>
      </c>
      <c r="G14" s="2">
        <f t="shared" si="3"/>
        <v>3.5294117647058822</v>
      </c>
      <c r="H14" s="2">
        <f t="shared" si="4"/>
        <v>5.294117647058823</v>
      </c>
      <c r="I14" s="2">
        <f t="shared" si="5"/>
        <v>7.094117647058824</v>
      </c>
      <c r="J14" s="2">
        <f t="shared" si="6"/>
        <v>10.588235294117647</v>
      </c>
      <c r="K14" s="2">
        <f t="shared" si="7"/>
        <v>21.176470588235293</v>
      </c>
      <c r="L14" s="2">
        <f t="shared" si="8"/>
        <v>31.764705882352942</v>
      </c>
      <c r="M14" s="2">
        <f t="shared" si="9"/>
        <v>74.11764705882352</v>
      </c>
      <c r="N14" s="2"/>
      <c r="O14">
        <v>9</v>
      </c>
      <c r="P14">
        <f>B14</f>
        <v>9</v>
      </c>
      <c r="Q14" s="2">
        <f t="shared" si="13"/>
        <v>0.8823529411764706</v>
      </c>
      <c r="R14" s="8" t="s">
        <v>294</v>
      </c>
      <c r="W14" t="s">
        <v>979</v>
      </c>
    </row>
    <row r="15" spans="1:18" ht="12.75">
      <c r="A15" s="27" t="s">
        <v>169</v>
      </c>
      <c r="B15">
        <v>1.4</v>
      </c>
      <c r="C15" s="2">
        <f t="shared" si="11"/>
        <v>0.1372549019607843</v>
      </c>
      <c r="D15" s="2">
        <v>24</v>
      </c>
      <c r="E15" s="2">
        <f t="shared" si="1"/>
        <v>3.2941176470588234</v>
      </c>
      <c r="F15" s="4">
        <f t="shared" si="12"/>
        <v>37.33333333333333</v>
      </c>
      <c r="G15" s="2">
        <f t="shared" si="3"/>
        <v>2.1960784313725488</v>
      </c>
      <c r="H15" s="2">
        <f t="shared" si="4"/>
        <v>3.2941176470588234</v>
      </c>
      <c r="I15" s="2">
        <f t="shared" si="5"/>
        <v>4.4141176470588235</v>
      </c>
      <c r="J15" s="2">
        <f t="shared" si="6"/>
        <v>6.588235294117647</v>
      </c>
      <c r="K15" s="2">
        <f t="shared" si="7"/>
        <v>13.176470588235293</v>
      </c>
      <c r="L15" s="2">
        <f t="shared" si="8"/>
        <v>19.764705882352942</v>
      </c>
      <c r="M15" s="2">
        <f t="shared" si="9"/>
        <v>46.11764705882353</v>
      </c>
      <c r="N15" s="2"/>
      <c r="O15">
        <v>1.4</v>
      </c>
      <c r="P15">
        <f>B15</f>
        <v>1.4</v>
      </c>
      <c r="Q15" s="2">
        <f t="shared" si="13"/>
        <v>0.1372549019607843</v>
      </c>
      <c r="R15" s="8" t="s">
        <v>298</v>
      </c>
    </row>
    <row r="16" spans="1:23" ht="12.75">
      <c r="A16" t="s">
        <v>58</v>
      </c>
      <c r="C16" s="2">
        <f t="shared" si="11"/>
        <v>0</v>
      </c>
      <c r="D16" s="2">
        <v>24</v>
      </c>
      <c r="E16" s="2">
        <f t="shared" si="1"/>
        <v>0</v>
      </c>
      <c r="F16" s="4">
        <f t="shared" si="12"/>
        <v>0</v>
      </c>
      <c r="G16" s="2">
        <f t="shared" si="3"/>
        <v>0</v>
      </c>
      <c r="H16" s="2">
        <f t="shared" si="4"/>
        <v>0</v>
      </c>
      <c r="I16" s="2">
        <f t="shared" si="5"/>
        <v>0</v>
      </c>
      <c r="J16" s="2">
        <f t="shared" si="6"/>
        <v>0</v>
      </c>
      <c r="K16" s="2">
        <f t="shared" si="7"/>
        <v>0</v>
      </c>
      <c r="L16" s="2">
        <f t="shared" si="8"/>
        <v>0</v>
      </c>
      <c r="M16" s="2">
        <f t="shared" si="9"/>
        <v>0</v>
      </c>
      <c r="N16" s="2"/>
      <c r="O16">
        <f>B16</f>
        <v>0</v>
      </c>
      <c r="P16">
        <f aca="true" t="shared" si="14" ref="P16:P23">B16</f>
        <v>0</v>
      </c>
      <c r="Q16" s="2">
        <f t="shared" si="13"/>
        <v>0</v>
      </c>
      <c r="R16" s="50">
        <v>50</v>
      </c>
      <c r="S16" s="8" t="s">
        <v>1190</v>
      </c>
      <c r="V16">
        <f>100/R16</f>
        <v>2</v>
      </c>
      <c r="W16" s="50" t="s">
        <v>1</v>
      </c>
    </row>
    <row r="17" spans="1:23" ht="12.75">
      <c r="A17" t="s">
        <v>1102</v>
      </c>
      <c r="C17" s="2">
        <f t="shared" si="11"/>
        <v>0</v>
      </c>
      <c r="D17" s="2">
        <v>0.5</v>
      </c>
      <c r="E17" s="2">
        <f t="shared" si="1"/>
        <v>0</v>
      </c>
      <c r="F17" s="4">
        <f t="shared" si="12"/>
        <v>0</v>
      </c>
      <c r="G17" s="2">
        <f t="shared" si="3"/>
        <v>0</v>
      </c>
      <c r="H17" s="2">
        <f t="shared" si="4"/>
        <v>0</v>
      </c>
      <c r="I17" s="2">
        <f t="shared" si="5"/>
        <v>0</v>
      </c>
      <c r="J17" s="2">
        <f t="shared" si="6"/>
        <v>0</v>
      </c>
      <c r="K17" s="2">
        <f t="shared" si="7"/>
        <v>0</v>
      </c>
      <c r="L17" s="2">
        <f t="shared" si="8"/>
        <v>0</v>
      </c>
      <c r="M17" s="2">
        <f t="shared" si="9"/>
        <v>0</v>
      </c>
      <c r="N17" s="2"/>
      <c r="O17">
        <f>B17</f>
        <v>0</v>
      </c>
      <c r="P17">
        <f t="shared" si="14"/>
        <v>0</v>
      </c>
      <c r="Q17" s="2">
        <f t="shared" si="13"/>
        <v>0</v>
      </c>
      <c r="R17" s="13">
        <v>420</v>
      </c>
      <c r="S17" s="12" t="s">
        <v>1145</v>
      </c>
      <c r="W17" s="40" t="s">
        <v>981</v>
      </c>
    </row>
    <row r="18" spans="1:23" ht="12.75">
      <c r="A18" t="s">
        <v>60</v>
      </c>
      <c r="C18" s="2">
        <f t="shared" si="11"/>
        <v>0</v>
      </c>
      <c r="D18" s="2">
        <v>24</v>
      </c>
      <c r="E18" s="2">
        <f t="shared" si="1"/>
        <v>0</v>
      </c>
      <c r="F18" s="4">
        <f t="shared" si="12"/>
        <v>0</v>
      </c>
      <c r="G18" s="2">
        <f t="shared" si="3"/>
        <v>0</v>
      </c>
      <c r="H18" s="2">
        <f t="shared" si="4"/>
        <v>0</v>
      </c>
      <c r="I18" s="2">
        <f t="shared" si="5"/>
        <v>0</v>
      </c>
      <c r="J18" s="2">
        <f t="shared" si="6"/>
        <v>0</v>
      </c>
      <c r="K18" s="2">
        <f t="shared" si="7"/>
        <v>0</v>
      </c>
      <c r="L18" s="2">
        <f t="shared" si="8"/>
        <v>0</v>
      </c>
      <c r="M18" s="2">
        <f t="shared" si="9"/>
        <v>0</v>
      </c>
      <c r="N18" s="2"/>
      <c r="O18">
        <f>B18</f>
        <v>0</v>
      </c>
      <c r="P18">
        <f t="shared" si="14"/>
        <v>0</v>
      </c>
      <c r="Q18" s="2">
        <f t="shared" si="13"/>
        <v>0</v>
      </c>
      <c r="R18" s="13">
        <v>85</v>
      </c>
      <c r="S18" s="12" t="s">
        <v>66</v>
      </c>
      <c r="W18" s="24" t="s">
        <v>982</v>
      </c>
    </row>
    <row r="19" spans="1:19" ht="12.75">
      <c r="A19" t="s">
        <v>1103</v>
      </c>
      <c r="C19" s="2">
        <f t="shared" si="11"/>
        <v>0</v>
      </c>
      <c r="D19" s="2">
        <v>0.1</v>
      </c>
      <c r="E19" s="2">
        <f t="shared" si="1"/>
        <v>0</v>
      </c>
      <c r="F19" s="4">
        <f t="shared" si="12"/>
        <v>0</v>
      </c>
      <c r="G19" s="2">
        <f t="shared" si="3"/>
        <v>0</v>
      </c>
      <c r="H19" s="2">
        <f t="shared" si="4"/>
        <v>0</v>
      </c>
      <c r="I19" s="2">
        <f t="shared" si="5"/>
        <v>0</v>
      </c>
      <c r="J19" s="2">
        <f t="shared" si="6"/>
        <v>0</v>
      </c>
      <c r="K19" s="2">
        <f t="shared" si="7"/>
        <v>0</v>
      </c>
      <c r="L19" s="2">
        <f t="shared" si="8"/>
        <v>0</v>
      </c>
      <c r="M19" s="2">
        <f t="shared" si="9"/>
        <v>0</v>
      </c>
      <c r="N19" s="2"/>
      <c r="O19">
        <f>B19</f>
        <v>0</v>
      </c>
      <c r="P19">
        <f t="shared" si="14"/>
        <v>0</v>
      </c>
      <c r="Q19" s="2">
        <f t="shared" si="13"/>
        <v>0</v>
      </c>
      <c r="R19" s="13">
        <v>2000</v>
      </c>
      <c r="S19" s="8" t="s">
        <v>67</v>
      </c>
    </row>
    <row r="20" spans="1:19" ht="12.75">
      <c r="A20" t="s">
        <v>693</v>
      </c>
      <c r="C20" s="2">
        <f t="shared" si="11"/>
        <v>0</v>
      </c>
      <c r="D20" s="2">
        <v>24</v>
      </c>
      <c r="E20" s="2">
        <f t="shared" si="1"/>
        <v>0</v>
      </c>
      <c r="F20" s="4">
        <f t="shared" si="12"/>
        <v>0</v>
      </c>
      <c r="G20" s="2">
        <f t="shared" si="3"/>
        <v>0</v>
      </c>
      <c r="H20" s="2">
        <f t="shared" si="4"/>
        <v>0</v>
      </c>
      <c r="I20" s="2">
        <f t="shared" si="5"/>
        <v>0</v>
      </c>
      <c r="J20" s="2">
        <f t="shared" si="6"/>
        <v>0</v>
      </c>
      <c r="K20" s="2">
        <f t="shared" si="7"/>
        <v>0</v>
      </c>
      <c r="L20" s="2">
        <f t="shared" si="8"/>
        <v>0</v>
      </c>
      <c r="M20" s="2">
        <f t="shared" si="9"/>
        <v>0</v>
      </c>
      <c r="N20" s="2"/>
      <c r="O20">
        <f>B20</f>
        <v>0</v>
      </c>
      <c r="P20">
        <f t="shared" si="14"/>
        <v>0</v>
      </c>
      <c r="Q20" s="2">
        <f t="shared" si="13"/>
        <v>0</v>
      </c>
      <c r="R20" s="62">
        <v>0.8</v>
      </c>
      <c r="S20" s="8" t="s">
        <v>914</v>
      </c>
    </row>
    <row r="21" spans="1:19" ht="12.75">
      <c r="A21" t="s">
        <v>833</v>
      </c>
      <c r="C21" s="2">
        <f t="shared" si="11"/>
        <v>0</v>
      </c>
      <c r="D21" s="2">
        <f>NOCTRatings!D22</f>
        <v>2.52</v>
      </c>
      <c r="E21" s="2">
        <f t="shared" si="1"/>
        <v>0</v>
      </c>
      <c r="F21" s="4">
        <f t="shared" si="12"/>
        <v>0</v>
      </c>
      <c r="G21" s="2">
        <f t="shared" si="3"/>
        <v>0</v>
      </c>
      <c r="H21" s="2">
        <f t="shared" si="4"/>
        <v>0</v>
      </c>
      <c r="I21" s="2">
        <f t="shared" si="5"/>
        <v>0</v>
      </c>
      <c r="J21" s="2">
        <f t="shared" si="6"/>
        <v>0</v>
      </c>
      <c r="K21" s="2">
        <f t="shared" si="7"/>
        <v>0</v>
      </c>
      <c r="L21" s="2">
        <f t="shared" si="8"/>
        <v>0</v>
      </c>
      <c r="M21" s="2">
        <f t="shared" si="9"/>
        <v>0</v>
      </c>
      <c r="N21" s="2"/>
      <c r="O21">
        <f>B21*1.16</f>
        <v>0</v>
      </c>
      <c r="P21">
        <f>B21*1.16</f>
        <v>0</v>
      </c>
      <c r="Q21" s="2">
        <f t="shared" si="13"/>
        <v>0</v>
      </c>
      <c r="R21" s="7">
        <f>R17/V16/J34</f>
        <v>0.5713014997096444</v>
      </c>
      <c r="S21" s="6" t="s">
        <v>881</v>
      </c>
    </row>
    <row r="22" spans="1:19" ht="12.75">
      <c r="A22" s="27" t="s">
        <v>1146</v>
      </c>
      <c r="B22">
        <v>8</v>
      </c>
      <c r="C22" s="2">
        <f t="shared" si="11"/>
        <v>0.7843137254901961</v>
      </c>
      <c r="D22" s="2">
        <v>2</v>
      </c>
      <c r="E22" s="2">
        <f t="shared" si="1"/>
        <v>1.5686274509803921</v>
      </c>
      <c r="F22" s="4">
        <f t="shared" si="12"/>
        <v>17.77777777777778</v>
      </c>
      <c r="G22" s="2">
        <f t="shared" si="3"/>
        <v>1.045751633986928</v>
      </c>
      <c r="H22" s="2">
        <f t="shared" si="4"/>
        <v>1.5686274509803921</v>
      </c>
      <c r="I22" s="2">
        <f t="shared" si="5"/>
        <v>2.1019607843137256</v>
      </c>
      <c r="J22" s="2">
        <f t="shared" si="6"/>
        <v>3.1372549019607843</v>
      </c>
      <c r="K22" s="2">
        <f t="shared" si="7"/>
        <v>6.2745098039215685</v>
      </c>
      <c r="L22" s="2">
        <f t="shared" si="8"/>
        <v>9.411764705882353</v>
      </c>
      <c r="M22" s="2">
        <f t="shared" si="9"/>
        <v>21.96078431372549</v>
      </c>
      <c r="N22" s="2"/>
      <c r="O22">
        <v>8</v>
      </c>
      <c r="P22">
        <f t="shared" si="14"/>
        <v>8</v>
      </c>
      <c r="Q22" s="2">
        <f t="shared" si="13"/>
        <v>0.7843137254901961</v>
      </c>
      <c r="R22" s="5">
        <f>R21*24</f>
        <v>13.711235993031465</v>
      </c>
      <c r="S22" s="6" t="s">
        <v>882</v>
      </c>
    </row>
    <row r="23" spans="1:19" ht="12.75">
      <c r="A23" t="s">
        <v>162</v>
      </c>
      <c r="C23" s="2">
        <f t="shared" si="11"/>
        <v>0</v>
      </c>
      <c r="D23" s="2">
        <v>24</v>
      </c>
      <c r="E23" s="2">
        <f t="shared" si="1"/>
        <v>0</v>
      </c>
      <c r="F23" s="4">
        <f t="shared" si="12"/>
        <v>0</v>
      </c>
      <c r="G23" s="2">
        <f t="shared" si="3"/>
        <v>0</v>
      </c>
      <c r="H23" s="2">
        <f t="shared" si="4"/>
        <v>0</v>
      </c>
      <c r="I23" s="2">
        <f t="shared" si="5"/>
        <v>0</v>
      </c>
      <c r="J23" s="2">
        <f t="shared" si="6"/>
        <v>0</v>
      </c>
      <c r="K23" s="2">
        <f t="shared" si="7"/>
        <v>0</v>
      </c>
      <c r="L23" s="2">
        <f t="shared" si="8"/>
        <v>0</v>
      </c>
      <c r="M23" s="2">
        <f t="shared" si="9"/>
        <v>0</v>
      </c>
      <c r="N23" s="2"/>
      <c r="O23">
        <f>B23</f>
        <v>0</v>
      </c>
      <c r="P23">
        <f t="shared" si="14"/>
        <v>0</v>
      </c>
      <c r="Q23" s="2">
        <f t="shared" si="13"/>
        <v>0</v>
      </c>
      <c r="R23" s="5">
        <f>J64</f>
        <v>6.503369266968325</v>
      </c>
      <c r="S23" s="6" t="s">
        <v>243</v>
      </c>
    </row>
    <row r="24" spans="1:19" ht="12.75">
      <c r="A24" t="s">
        <v>164</v>
      </c>
      <c r="C24" s="2">
        <f t="shared" si="11"/>
        <v>0</v>
      </c>
      <c r="D24" s="2">
        <v>0.1</v>
      </c>
      <c r="E24" s="2">
        <f t="shared" si="1"/>
        <v>0</v>
      </c>
      <c r="F24" s="4">
        <f t="shared" si="12"/>
        <v>0</v>
      </c>
      <c r="G24" s="2">
        <f t="shared" si="3"/>
        <v>0</v>
      </c>
      <c r="H24" s="2">
        <f t="shared" si="4"/>
        <v>0</v>
      </c>
      <c r="I24" s="2">
        <f t="shared" si="5"/>
        <v>0</v>
      </c>
      <c r="J24" s="2">
        <f t="shared" si="6"/>
        <v>0</v>
      </c>
      <c r="K24" s="2">
        <f t="shared" si="7"/>
        <v>0</v>
      </c>
      <c r="L24" s="2">
        <f t="shared" si="8"/>
        <v>0</v>
      </c>
      <c r="M24" s="2">
        <f t="shared" si="9"/>
        <v>0</v>
      </c>
      <c r="N24" s="2"/>
      <c r="O24">
        <f>B24</f>
        <v>0</v>
      </c>
      <c r="P24">
        <f>IF(B24=0,0,B24*3)</f>
        <v>0</v>
      </c>
      <c r="Q24" s="2">
        <f t="shared" si="13"/>
        <v>0</v>
      </c>
      <c r="S24" s="6" t="s">
        <v>947</v>
      </c>
    </row>
    <row r="25" spans="1:24" ht="12.75">
      <c r="A25" t="s">
        <v>1037</v>
      </c>
      <c r="C25" s="2">
        <f t="shared" si="11"/>
        <v>0</v>
      </c>
      <c r="D25" s="2">
        <v>24</v>
      </c>
      <c r="E25" s="2">
        <f t="shared" si="1"/>
        <v>0</v>
      </c>
      <c r="F25" s="4">
        <f t="shared" si="12"/>
        <v>0</v>
      </c>
      <c r="G25" s="2">
        <f t="shared" si="3"/>
        <v>0</v>
      </c>
      <c r="H25" s="2">
        <f t="shared" si="4"/>
        <v>0</v>
      </c>
      <c r="I25" s="2">
        <f t="shared" si="5"/>
        <v>0</v>
      </c>
      <c r="J25" s="2">
        <f t="shared" si="6"/>
        <v>0</v>
      </c>
      <c r="K25" s="2">
        <f t="shared" si="7"/>
        <v>0</v>
      </c>
      <c r="L25" s="2">
        <f t="shared" si="8"/>
        <v>0</v>
      </c>
      <c r="M25" s="2">
        <f t="shared" si="9"/>
        <v>0</v>
      </c>
      <c r="N25" s="2"/>
      <c r="O25">
        <f>B25</f>
        <v>0</v>
      </c>
      <c r="P25">
        <f>B25</f>
        <v>0</v>
      </c>
      <c r="Q25" s="2">
        <f t="shared" si="13"/>
        <v>0</v>
      </c>
      <c r="S25" s="6" t="s">
        <v>101</v>
      </c>
      <c r="W25" s="8" t="s">
        <v>102</v>
      </c>
      <c r="X25" s="8"/>
    </row>
    <row r="26" spans="1:21" ht="12.75">
      <c r="A26" s="36" t="s">
        <v>832</v>
      </c>
      <c r="B26" t="s">
        <v>1084</v>
      </c>
      <c r="C26" s="2"/>
      <c r="D26" s="2">
        <v>8</v>
      </c>
      <c r="E26" s="2">
        <f t="shared" si="1"/>
        <v>0</v>
      </c>
      <c r="F26" s="4">
        <f>IF(B26&lt;&gt;"n/a",((B26*D26)/0.9),E26*12.6)</f>
        <v>0</v>
      </c>
      <c r="G26" s="2">
        <f t="shared" si="3"/>
        <v>0</v>
      </c>
      <c r="H26" s="2">
        <f t="shared" si="4"/>
        <v>0</v>
      </c>
      <c r="I26" s="2">
        <f t="shared" si="5"/>
        <v>0</v>
      </c>
      <c r="J26" s="2">
        <f t="shared" si="6"/>
        <v>0</v>
      </c>
      <c r="K26" s="2">
        <f t="shared" si="7"/>
        <v>0</v>
      </c>
      <c r="L26" s="2">
        <f t="shared" si="8"/>
        <v>0</v>
      </c>
      <c r="M26" s="2">
        <f t="shared" si="9"/>
        <v>0</v>
      </c>
      <c r="N26" s="2"/>
      <c r="Q26" s="2">
        <f>C26</f>
        <v>0</v>
      </c>
      <c r="R26" s="50">
        <v>3.34</v>
      </c>
      <c r="S26" s="6" t="s">
        <v>99</v>
      </c>
      <c r="T26" s="70">
        <f>$F$32/$R$26/0.67</f>
        <v>1865.7086781660555</v>
      </c>
      <c r="U26" s="8" t="s">
        <v>723</v>
      </c>
    </row>
    <row r="27" spans="1:21" ht="12.75">
      <c r="A27" t="s">
        <v>1046</v>
      </c>
      <c r="C27" s="2">
        <f t="shared" si="11"/>
        <v>0</v>
      </c>
      <c r="D27" s="2">
        <v>2</v>
      </c>
      <c r="E27" s="2">
        <f t="shared" si="1"/>
        <v>0</v>
      </c>
      <c r="F27" s="4">
        <f>IF(B27&lt;&gt;"n/a",((B27*D27)/0.9),E27*12.6)</f>
        <v>0</v>
      </c>
      <c r="G27" s="2">
        <f t="shared" si="3"/>
        <v>0</v>
      </c>
      <c r="H27" s="2">
        <f t="shared" si="4"/>
        <v>0</v>
      </c>
      <c r="I27" s="2">
        <f t="shared" si="5"/>
        <v>0</v>
      </c>
      <c r="J27" s="2">
        <f t="shared" si="6"/>
        <v>0</v>
      </c>
      <c r="K27" s="2">
        <f t="shared" si="7"/>
        <v>0</v>
      </c>
      <c r="L27" s="2">
        <f t="shared" si="8"/>
        <v>0</v>
      </c>
      <c r="M27" s="2">
        <f t="shared" si="9"/>
        <v>0</v>
      </c>
      <c r="N27" s="2"/>
      <c r="O27">
        <f>IF(B27=0,0,380)</f>
        <v>0</v>
      </c>
      <c r="P27">
        <f>IF(C27=0,0,380)</f>
        <v>0</v>
      </c>
      <c r="Q27" s="2">
        <f>C27</f>
        <v>0</v>
      </c>
      <c r="R27" s="50">
        <v>5.09</v>
      </c>
      <c r="S27" s="6" t="s">
        <v>100</v>
      </c>
      <c r="T27" s="70">
        <f>$F$32/$R$27/0.67</f>
        <v>1224.2567750637772</v>
      </c>
      <c r="U27" s="8" t="s">
        <v>723</v>
      </c>
    </row>
    <row r="28" spans="1:18" ht="12.75">
      <c r="A28" t="s">
        <v>1012</v>
      </c>
      <c r="C28" s="2">
        <f>B28/($R$18/100)/12</f>
        <v>0</v>
      </c>
      <c r="D28" s="2">
        <v>8</v>
      </c>
      <c r="E28" s="2">
        <f t="shared" si="1"/>
        <v>0</v>
      </c>
      <c r="F28" s="4">
        <f>(B28*D28)/0.9</f>
        <v>0</v>
      </c>
      <c r="G28" s="2">
        <f t="shared" si="3"/>
        <v>0</v>
      </c>
      <c r="H28" s="2">
        <f t="shared" si="4"/>
        <v>0</v>
      </c>
      <c r="I28" s="2">
        <f t="shared" si="5"/>
        <v>0</v>
      </c>
      <c r="J28" s="2">
        <f t="shared" si="6"/>
        <v>0</v>
      </c>
      <c r="K28" s="2">
        <f t="shared" si="7"/>
        <v>0</v>
      </c>
      <c r="L28" s="2">
        <f t="shared" si="8"/>
        <v>0</v>
      </c>
      <c r="M28" s="2">
        <f t="shared" si="9"/>
        <v>0</v>
      </c>
      <c r="N28" s="2"/>
      <c r="O28">
        <f>B28</f>
        <v>0</v>
      </c>
      <c r="P28">
        <f>IF(B28=0,0,1200)</f>
        <v>0</v>
      </c>
      <c r="Q28" s="2">
        <f>O28/($R$18/100)/12</f>
        <v>0</v>
      </c>
      <c r="R28" s="50" t="s">
        <v>124</v>
      </c>
    </row>
    <row r="29" spans="1:19" ht="12.75">
      <c r="A29" t="s">
        <v>1137</v>
      </c>
      <c r="B29" t="s">
        <v>1084</v>
      </c>
      <c r="C29" s="2"/>
      <c r="D29" s="2">
        <v>24</v>
      </c>
      <c r="E29" s="2">
        <f t="shared" si="1"/>
        <v>0</v>
      </c>
      <c r="F29" s="4">
        <f>IF(B29&lt;&gt;"n/a",((B29*D29)/0.9),E29*12.6)</f>
        <v>0</v>
      </c>
      <c r="G29" s="2">
        <f t="shared" si="3"/>
        <v>0</v>
      </c>
      <c r="H29" s="2">
        <f t="shared" si="4"/>
        <v>0</v>
      </c>
      <c r="I29" s="2">
        <f t="shared" si="5"/>
        <v>0</v>
      </c>
      <c r="J29" s="2">
        <f t="shared" si="6"/>
        <v>0</v>
      </c>
      <c r="K29" s="2">
        <f t="shared" si="7"/>
        <v>0</v>
      </c>
      <c r="L29" s="2">
        <f t="shared" si="8"/>
        <v>0</v>
      </c>
      <c r="M29" s="2">
        <f t="shared" si="9"/>
        <v>0</v>
      </c>
      <c r="N29" s="2"/>
      <c r="Q29" s="2">
        <f>C29</f>
        <v>0</v>
      </c>
      <c r="S29" s="6" t="s">
        <v>791</v>
      </c>
    </row>
    <row r="30" spans="1:19" ht="12.75">
      <c r="A30" t="s">
        <v>61</v>
      </c>
      <c r="C30" s="2">
        <f>B30/($R$18/100)/12</f>
        <v>0</v>
      </c>
      <c r="D30" s="2">
        <v>0.5</v>
      </c>
      <c r="E30" s="2">
        <f t="shared" si="1"/>
        <v>0</v>
      </c>
      <c r="F30" s="4">
        <f>(B30*D30)/0.9</f>
        <v>0</v>
      </c>
      <c r="G30" s="2">
        <f t="shared" si="3"/>
        <v>0</v>
      </c>
      <c r="H30" s="2">
        <f t="shared" si="4"/>
        <v>0</v>
      </c>
      <c r="I30" s="2">
        <f t="shared" si="5"/>
        <v>0</v>
      </c>
      <c r="J30" s="2">
        <f t="shared" si="6"/>
        <v>0</v>
      </c>
      <c r="K30" s="2">
        <f t="shared" si="7"/>
        <v>0</v>
      </c>
      <c r="L30" s="2">
        <f t="shared" si="8"/>
        <v>0</v>
      </c>
      <c r="M30" s="2">
        <f t="shared" si="9"/>
        <v>0</v>
      </c>
      <c r="N30" s="2"/>
      <c r="O30">
        <f>B30</f>
        <v>0</v>
      </c>
      <c r="P30">
        <f>IF(B30=0,0,1750)</f>
        <v>0</v>
      </c>
      <c r="Q30" s="2">
        <f>O30/($R$18/100)/12</f>
        <v>0</v>
      </c>
      <c r="S30" s="6" t="s">
        <v>792</v>
      </c>
    </row>
    <row r="31" spans="3:18" ht="12.75">
      <c r="C31" s="2"/>
      <c r="D31" s="2"/>
      <c r="E31" s="2"/>
      <c r="F31" s="4"/>
      <c r="G31" s="2"/>
      <c r="H31" s="2"/>
      <c r="I31" s="2"/>
      <c r="J31" s="2"/>
      <c r="K31" s="2"/>
      <c r="L31" s="2"/>
      <c r="M31" s="2"/>
      <c r="N31" s="2"/>
      <c r="Q31" s="2"/>
      <c r="R31" s="50"/>
    </row>
    <row r="32" spans="1:19" ht="12.75">
      <c r="A32" s="8" t="s">
        <v>1080</v>
      </c>
      <c r="B32" s="10">
        <f>SUM(B4:B30)</f>
        <v>249.4</v>
      </c>
      <c r="C32" s="2">
        <f>SUM(C4:C30)</f>
        <v>24.752180392156863</v>
      </c>
      <c r="D32" s="2"/>
      <c r="E32" s="2">
        <f>SUM(E4:E30)</f>
        <v>367.5817411764706</v>
      </c>
      <c r="F32" s="4">
        <f>SUM(F4:F30)</f>
        <v>4175.082879999999</v>
      </c>
      <c r="G32" s="45">
        <f>G3</f>
        <v>8</v>
      </c>
      <c r="H32" s="2" t="s">
        <v>355</v>
      </c>
      <c r="I32" s="2" t="s">
        <v>356</v>
      </c>
      <c r="J32" s="42" t="s">
        <v>357</v>
      </c>
      <c r="K32" s="2" t="s">
        <v>358</v>
      </c>
      <c r="L32" s="2" t="s">
        <v>359</v>
      </c>
      <c r="M32" s="10">
        <f>M3</f>
        <v>7</v>
      </c>
      <c r="N32" s="10"/>
      <c r="O32" s="4">
        <f>SUM(O4:O30)</f>
        <v>888.4</v>
      </c>
      <c r="P32" s="4">
        <f>SUM(P4:P30)</f>
        <v>888.4</v>
      </c>
      <c r="Q32" s="2">
        <f>SUM(Q4:Q30)</f>
        <v>87.09803921568627</v>
      </c>
      <c r="R32" t="s">
        <v>724</v>
      </c>
      <c r="S32" s="60" t="s">
        <v>711</v>
      </c>
    </row>
    <row r="33" spans="3:19" ht="12.75">
      <c r="C33" t="s">
        <v>458</v>
      </c>
      <c r="D33" t="s">
        <v>1191</v>
      </c>
      <c r="G33" s="2">
        <f aca="true" t="shared" si="15" ref="G33:M33">SUM(G4:G30)</f>
        <v>245.05449411764707</v>
      </c>
      <c r="H33" s="2">
        <f t="shared" si="15"/>
        <v>367.5817411764706</v>
      </c>
      <c r="I33" s="2">
        <f t="shared" si="15"/>
        <v>492.5595331764707</v>
      </c>
      <c r="J33" s="2">
        <f t="shared" si="15"/>
        <v>735.1634823529412</v>
      </c>
      <c r="K33" s="2">
        <f t="shared" si="15"/>
        <v>1470.3269647058823</v>
      </c>
      <c r="L33" s="2">
        <f t="shared" si="15"/>
        <v>2205.4904470588244</v>
      </c>
      <c r="M33" s="2">
        <f t="shared" si="15"/>
        <v>5146.144376470589</v>
      </c>
      <c r="N33" s="2" t="s">
        <v>809</v>
      </c>
      <c r="S33" s="60" t="s">
        <v>510</v>
      </c>
    </row>
    <row r="34" spans="1:19" ht="12.75">
      <c r="A34" t="s">
        <v>10</v>
      </c>
      <c r="D34" t="s">
        <v>1122</v>
      </c>
      <c r="E34" t="s">
        <v>1074</v>
      </c>
      <c r="F34">
        <f>R17/V16</f>
        <v>210</v>
      </c>
      <c r="G34" s="2">
        <f>G33/V16</f>
        <v>122.52724705882353</v>
      </c>
      <c r="H34" s="2">
        <f>H33/V16</f>
        <v>183.7908705882353</v>
      </c>
      <c r="I34" s="2">
        <f>I33/V16</f>
        <v>246.27976658823536</v>
      </c>
      <c r="J34" s="2">
        <f>J33/V16</f>
        <v>367.5817411764706</v>
      </c>
      <c r="K34" s="2">
        <f>J34*2</f>
        <v>735.1634823529412</v>
      </c>
      <c r="L34" s="2">
        <f>J34*3</f>
        <v>1102.7452235294118</v>
      </c>
      <c r="M34" s="2">
        <f>J34*M3</f>
        <v>2573.072188235294</v>
      </c>
      <c r="N34" s="2"/>
      <c r="S34" s="60" t="s">
        <v>511</v>
      </c>
    </row>
    <row r="35" spans="1:19" ht="12.75">
      <c r="A35" t="s">
        <v>11</v>
      </c>
      <c r="D35" t="s">
        <v>810</v>
      </c>
      <c r="G35" s="2">
        <f aca="true" t="shared" si="16" ref="G35:M35">G34/$R$17*100</f>
        <v>29.17315406162465</v>
      </c>
      <c r="H35" s="2">
        <f t="shared" si="16"/>
        <v>43.75973109243698</v>
      </c>
      <c r="I35" s="2">
        <f t="shared" si="16"/>
        <v>58.63803966386556</v>
      </c>
      <c r="J35" s="2">
        <f t="shared" si="16"/>
        <v>87.51946218487396</v>
      </c>
      <c r="K35" s="2">
        <f t="shared" si="16"/>
        <v>175.03892436974792</v>
      </c>
      <c r="L35" s="2">
        <f t="shared" si="16"/>
        <v>262.55838655462185</v>
      </c>
      <c r="M35" s="2">
        <f t="shared" si="16"/>
        <v>612.6362352941176</v>
      </c>
      <c r="N35" s="2"/>
      <c r="O35" s="47" t="s">
        <v>1034</v>
      </c>
      <c r="P35" s="47"/>
      <c r="Q35" s="47"/>
      <c r="S35" s="60" t="s">
        <v>512</v>
      </c>
    </row>
    <row r="36" spans="1:19" ht="12.75">
      <c r="A36" t="s">
        <v>12</v>
      </c>
      <c r="D36" t="s">
        <v>811</v>
      </c>
      <c r="E36" s="22"/>
      <c r="F36" s="4"/>
      <c r="G36" s="2">
        <f aca="true" t="shared" si="17" ref="G36:M36">G34*1.15</f>
        <v>140.90633411764705</v>
      </c>
      <c r="H36" s="2">
        <f t="shared" si="17"/>
        <v>211.35950117647056</v>
      </c>
      <c r="I36" s="2">
        <f t="shared" si="17"/>
        <v>283.22173157647063</v>
      </c>
      <c r="J36" s="2">
        <f t="shared" si="17"/>
        <v>422.7190023529411</v>
      </c>
      <c r="K36" s="2">
        <f t="shared" si="17"/>
        <v>845.4380047058822</v>
      </c>
      <c r="L36" s="2">
        <f t="shared" si="17"/>
        <v>1268.1570070588234</v>
      </c>
      <c r="M36" s="2">
        <f t="shared" si="17"/>
        <v>2959.033016470588</v>
      </c>
      <c r="N36" s="2"/>
      <c r="O36" t="s">
        <v>812</v>
      </c>
      <c r="S36" s="60" t="s">
        <v>513</v>
      </c>
    </row>
    <row r="37" spans="6:14" ht="12.75">
      <c r="F37" s="4"/>
      <c r="G37" s="2"/>
      <c r="H37" s="2"/>
      <c r="I37" s="2"/>
      <c r="J37" s="2"/>
      <c r="K37" s="2"/>
      <c r="L37" s="2"/>
      <c r="M37" s="2"/>
      <c r="N37" s="2"/>
    </row>
    <row r="38" spans="3:21" ht="12.75">
      <c r="C38" t="s">
        <v>414</v>
      </c>
      <c r="E38" s="53" t="s">
        <v>656</v>
      </c>
      <c r="F38" s="54" t="s">
        <v>651</v>
      </c>
      <c r="G38" s="2" t="s">
        <v>116</v>
      </c>
      <c r="H38" s="2"/>
      <c r="I38" s="25"/>
      <c r="J38" s="52"/>
      <c r="K38" s="2"/>
      <c r="L38" s="2"/>
      <c r="M38" s="2"/>
      <c r="N38" s="2"/>
      <c r="Q38" s="8" t="s">
        <v>564</v>
      </c>
      <c r="R38" s="8" t="s">
        <v>651</v>
      </c>
      <c r="S38" s="56" t="s">
        <v>809</v>
      </c>
      <c r="T38" s="56" t="s">
        <v>887</v>
      </c>
      <c r="U38" t="s">
        <v>618</v>
      </c>
    </row>
    <row r="39" spans="3:21" ht="12.75">
      <c r="C39" t="s">
        <v>373</v>
      </c>
      <c r="E39">
        <v>400</v>
      </c>
      <c r="G39" s="2">
        <f>G36/Q39</f>
        <v>5.088284287581699</v>
      </c>
      <c r="H39" s="2">
        <f>H36/Q39</f>
        <v>7.632426431372548</v>
      </c>
      <c r="I39" s="2">
        <f>I36/Q39</f>
        <v>10.227451418039216</v>
      </c>
      <c r="J39" s="2">
        <f>J36/Q39</f>
        <v>15.264852862745096</v>
      </c>
      <c r="K39" s="2">
        <f aca="true" t="shared" si="18" ref="K39:K62">J39*2</f>
        <v>30.529705725490192</v>
      </c>
      <c r="L39" s="2">
        <f aca="true" t="shared" si="19" ref="L39:L62">J39*3</f>
        <v>45.79455858823529</v>
      </c>
      <c r="M39" s="2">
        <f aca="true" t="shared" si="20" ref="M39:M62">J39*4</f>
        <v>61.059411450980384</v>
      </c>
      <c r="N39" s="2"/>
      <c r="O39" t="s">
        <v>1142</v>
      </c>
      <c r="Q39" s="2">
        <f>E39/13*0.9</f>
        <v>27.692307692307693</v>
      </c>
      <c r="S39" s="10">
        <f>Q39*R26</f>
        <v>92.49230769230769</v>
      </c>
      <c r="T39" s="4">
        <f aca="true" t="shared" si="21" ref="T39:T62">S39*12</f>
        <v>1109.9076923076923</v>
      </c>
      <c r="U39" t="s">
        <v>1029</v>
      </c>
    </row>
    <row r="40" spans="1:23" ht="12.75">
      <c r="A40" t="s">
        <v>652</v>
      </c>
      <c r="F40" s="4">
        <f>E39*0.726</f>
        <v>290.4</v>
      </c>
      <c r="G40" s="2">
        <f>G$36/$R40</f>
        <v>7.008656043500962</v>
      </c>
      <c r="H40" s="2">
        <f>H$36/$R40</f>
        <v>10.512984065251443</v>
      </c>
      <c r="I40" s="2">
        <f>I$36/$R40</f>
        <v>14.087398647436938</v>
      </c>
      <c r="J40" s="2">
        <f>J$36/$R40</f>
        <v>21.025968130502886</v>
      </c>
      <c r="K40" s="2">
        <f t="shared" si="18"/>
        <v>42.05193626100577</v>
      </c>
      <c r="L40" s="2">
        <f t="shared" si="19"/>
        <v>63.07790439150865</v>
      </c>
      <c r="M40" s="2">
        <f t="shared" si="20"/>
        <v>84.10387252201154</v>
      </c>
      <c r="N40" s="2"/>
      <c r="R40" s="2">
        <f>F40/13*0.9</f>
        <v>20.104615384615386</v>
      </c>
      <c r="S40" s="10">
        <f>R40*R26</f>
        <v>67.14941538461538</v>
      </c>
      <c r="T40" s="4">
        <f t="shared" si="21"/>
        <v>805.7929846153845</v>
      </c>
      <c r="W40" t="s">
        <v>1032</v>
      </c>
    </row>
    <row r="41" spans="1:21" ht="12.75">
      <c r="A41" t="s">
        <v>987</v>
      </c>
      <c r="C41" t="s">
        <v>399</v>
      </c>
      <c r="E41">
        <v>400</v>
      </c>
      <c r="G41" s="2">
        <f>G$36/Q41</f>
        <v>5.088284287581699</v>
      </c>
      <c r="H41" s="2">
        <f>H36/Q41</f>
        <v>7.632426431372548</v>
      </c>
      <c r="I41" s="2">
        <f>I36/Q41</f>
        <v>10.227451418039216</v>
      </c>
      <c r="J41" s="2">
        <f>J36/Q41</f>
        <v>15.264852862745096</v>
      </c>
      <c r="K41" s="2">
        <f t="shared" si="18"/>
        <v>30.529705725490192</v>
      </c>
      <c r="L41" s="2">
        <f t="shared" si="19"/>
        <v>45.79455858823529</v>
      </c>
      <c r="M41" s="2">
        <f t="shared" si="20"/>
        <v>61.059411450980384</v>
      </c>
      <c r="N41" s="2"/>
      <c r="O41" t="s">
        <v>1142</v>
      </c>
      <c r="Q41" s="2">
        <f>E41/13*0.9</f>
        <v>27.692307692307693</v>
      </c>
      <c r="S41" s="10">
        <f>Q41*R27</f>
        <v>140.95384615384614</v>
      </c>
      <c r="T41" s="4">
        <f t="shared" si="21"/>
        <v>1691.4461538461537</v>
      </c>
      <c r="U41" t="s">
        <v>1031</v>
      </c>
    </row>
    <row r="42" spans="1:23" ht="12.75">
      <c r="A42" t="s">
        <v>654</v>
      </c>
      <c r="F42" s="4">
        <f>E41*0.726</f>
        <v>290.4</v>
      </c>
      <c r="G42" s="2">
        <f>G$36/$R42</f>
        <v>7.008656043500962</v>
      </c>
      <c r="H42" s="2">
        <f>H$36/$R42</f>
        <v>10.512984065251443</v>
      </c>
      <c r="I42" s="2">
        <f>I$36/$R42</f>
        <v>14.087398647436938</v>
      </c>
      <c r="J42" s="2">
        <f>J$36/$R42</f>
        <v>21.025968130502886</v>
      </c>
      <c r="K42" s="2">
        <f t="shared" si="18"/>
        <v>42.05193626100577</v>
      </c>
      <c r="L42" s="2">
        <f t="shared" si="19"/>
        <v>63.07790439150865</v>
      </c>
      <c r="M42" s="2">
        <f t="shared" si="20"/>
        <v>84.10387252201154</v>
      </c>
      <c r="N42" s="2"/>
      <c r="R42" s="2">
        <f>F42/13*0.9</f>
        <v>20.104615384615386</v>
      </c>
      <c r="S42" s="10">
        <f>R42*R27</f>
        <v>102.3324923076923</v>
      </c>
      <c r="T42" s="4">
        <f t="shared" si="21"/>
        <v>1227.9899076923077</v>
      </c>
      <c r="W42" t="s">
        <v>1033</v>
      </c>
    </row>
    <row r="43" spans="1:20" ht="12.75">
      <c r="A43" t="s">
        <v>988</v>
      </c>
      <c r="C43" t="s">
        <v>373</v>
      </c>
      <c r="E43">
        <v>500</v>
      </c>
      <c r="G43" s="2">
        <f>G36/Q43</f>
        <v>4.070627430065359</v>
      </c>
      <c r="H43" s="2">
        <f>H36/Q43</f>
        <v>6.105941145098039</v>
      </c>
      <c r="I43" s="2">
        <f>I36/Q43</f>
        <v>8.181961134431374</v>
      </c>
      <c r="J43" s="2">
        <f>J36/Q43</f>
        <v>12.211882290196078</v>
      </c>
      <c r="K43" s="2">
        <f t="shared" si="18"/>
        <v>24.423764580392156</v>
      </c>
      <c r="L43" s="2">
        <f t="shared" si="19"/>
        <v>36.63564687058823</v>
      </c>
      <c r="M43" s="2">
        <f t="shared" si="20"/>
        <v>48.84752916078431</v>
      </c>
      <c r="N43" s="2"/>
      <c r="O43" t="s">
        <v>1142</v>
      </c>
      <c r="Q43" s="2">
        <f>E43/13*0.9</f>
        <v>34.61538461538461</v>
      </c>
      <c r="S43" s="10">
        <f>Q43*R26</f>
        <v>115.6153846153846</v>
      </c>
      <c r="T43" s="4">
        <f t="shared" si="21"/>
        <v>1387.3846153846152</v>
      </c>
    </row>
    <row r="44" spans="6:20" ht="12.75">
      <c r="F44" s="4">
        <f>E43*0.726</f>
        <v>363</v>
      </c>
      <c r="G44" s="2">
        <f>G$36/$R44</f>
        <v>5.60692483480077</v>
      </c>
      <c r="H44" s="2">
        <f>H$36/$R44</f>
        <v>8.410387252201154</v>
      </c>
      <c r="I44" s="2">
        <f>I$36/$R44</f>
        <v>11.26991891794955</v>
      </c>
      <c r="J44" s="2">
        <f>J$36/$R44</f>
        <v>16.82077450440231</v>
      </c>
      <c r="K44" s="2">
        <f t="shared" si="18"/>
        <v>33.64154900880462</v>
      </c>
      <c r="L44" s="2">
        <f t="shared" si="19"/>
        <v>50.462323513206925</v>
      </c>
      <c r="M44" s="2">
        <f t="shared" si="20"/>
        <v>67.28309801760923</v>
      </c>
      <c r="N44" s="2"/>
      <c r="R44" s="2">
        <f>F44/13*0.9</f>
        <v>25.130769230769232</v>
      </c>
      <c r="S44" s="10">
        <f>R44*R26</f>
        <v>83.93676923076923</v>
      </c>
      <c r="T44" s="4">
        <f t="shared" si="21"/>
        <v>1007.2412307692307</v>
      </c>
    </row>
    <row r="45" spans="1:20" ht="12.75">
      <c r="A45" t="s">
        <v>551</v>
      </c>
      <c r="C45" t="s">
        <v>399</v>
      </c>
      <c r="E45">
        <v>500</v>
      </c>
      <c r="G45" s="2">
        <f>G36/Q45</f>
        <v>4.070627430065359</v>
      </c>
      <c r="H45" s="2">
        <f>H36/Q45</f>
        <v>6.105941145098039</v>
      </c>
      <c r="I45" s="2">
        <f>I36/Q45</f>
        <v>8.181961134431374</v>
      </c>
      <c r="J45" s="2">
        <f>J36/Q45</f>
        <v>12.211882290196078</v>
      </c>
      <c r="K45" s="2">
        <f t="shared" si="18"/>
        <v>24.423764580392156</v>
      </c>
      <c r="L45" s="2">
        <f t="shared" si="19"/>
        <v>36.63564687058823</v>
      </c>
      <c r="M45" s="2">
        <f t="shared" si="20"/>
        <v>48.84752916078431</v>
      </c>
      <c r="N45" s="2"/>
      <c r="O45" t="s">
        <v>1142</v>
      </c>
      <c r="Q45" s="2">
        <f>E45/13*0.9</f>
        <v>34.61538461538461</v>
      </c>
      <c r="S45" s="10">
        <f>Q45*R27</f>
        <v>176.19230769230768</v>
      </c>
      <c r="T45" s="4">
        <f t="shared" si="21"/>
        <v>2114.3076923076924</v>
      </c>
    </row>
    <row r="46" spans="2:20" ht="12.75">
      <c r="B46" s="37"/>
      <c r="F46" s="4">
        <f>E45*0.726</f>
        <v>363</v>
      </c>
      <c r="G46" s="2">
        <f>G$36/$R46</f>
        <v>5.60692483480077</v>
      </c>
      <c r="H46" s="2">
        <f>H$36/$R46</f>
        <v>8.410387252201154</v>
      </c>
      <c r="I46" s="2">
        <f>I$36/$R46</f>
        <v>11.26991891794955</v>
      </c>
      <c r="J46" s="2">
        <f>J$36/$R46</f>
        <v>16.82077450440231</v>
      </c>
      <c r="K46" s="2">
        <f t="shared" si="18"/>
        <v>33.64154900880462</v>
      </c>
      <c r="L46" s="2">
        <f t="shared" si="19"/>
        <v>50.462323513206925</v>
      </c>
      <c r="M46" s="2">
        <f t="shared" si="20"/>
        <v>67.28309801760923</v>
      </c>
      <c r="N46" s="2"/>
      <c r="R46" s="2">
        <f>F46/13*0.9</f>
        <v>25.130769230769232</v>
      </c>
      <c r="S46" s="10">
        <f>R46*R27</f>
        <v>127.91561538461539</v>
      </c>
      <c r="T46" s="4">
        <f t="shared" si="21"/>
        <v>1534.9873846153846</v>
      </c>
    </row>
    <row r="47" spans="1:22" ht="12.75">
      <c r="A47" t="s">
        <v>179</v>
      </c>
      <c r="B47" s="38"/>
      <c r="C47" t="s">
        <v>373</v>
      </c>
      <c r="E47">
        <v>610</v>
      </c>
      <c r="G47" s="2">
        <f>G36/Q47</f>
        <v>3.3365798607093113</v>
      </c>
      <c r="H47" s="2">
        <f>H36/Q47</f>
        <v>5.004869791063967</v>
      </c>
      <c r="I47" s="2">
        <f>I36/Q47</f>
        <v>6.706525520025717</v>
      </c>
      <c r="J47" s="2">
        <f>J36/Q47</f>
        <v>10.009739582127933</v>
      </c>
      <c r="K47" s="2">
        <f t="shared" si="18"/>
        <v>20.019479164255866</v>
      </c>
      <c r="L47" s="2">
        <f t="shared" si="19"/>
        <v>30.029218746383798</v>
      </c>
      <c r="M47" s="2">
        <f t="shared" si="20"/>
        <v>40.03895832851173</v>
      </c>
      <c r="N47" s="2"/>
      <c r="O47" t="s">
        <v>1142</v>
      </c>
      <c r="Q47" s="2">
        <f>E47/13*0.9</f>
        <v>42.230769230769226</v>
      </c>
      <c r="S47" s="10">
        <f>Q47*R26</f>
        <v>141.05076923076922</v>
      </c>
      <c r="T47" s="4">
        <f t="shared" si="21"/>
        <v>1692.6092307692306</v>
      </c>
      <c r="U47" t="s">
        <v>954</v>
      </c>
      <c r="V47" t="s">
        <v>955</v>
      </c>
    </row>
    <row r="48" spans="1:22" ht="12.75">
      <c r="A48" t="s">
        <v>180</v>
      </c>
      <c r="B48" s="38"/>
      <c r="F48" s="4">
        <f>E47*0.726</f>
        <v>442.86</v>
      </c>
      <c r="G48" s="2">
        <f>G$36/$R48</f>
        <v>4.595840028525222</v>
      </c>
      <c r="H48" s="2">
        <f>H$36/$R48</f>
        <v>6.893760042787832</v>
      </c>
      <c r="I48" s="2">
        <f>I$36/$R48</f>
        <v>9.237638457335697</v>
      </c>
      <c r="J48" s="2">
        <f>J$36/$R48</f>
        <v>13.787520085575665</v>
      </c>
      <c r="K48" s="2">
        <f t="shared" si="18"/>
        <v>27.57504017115133</v>
      </c>
      <c r="L48" s="2">
        <f t="shared" si="19"/>
        <v>41.362560256726994</v>
      </c>
      <c r="M48" s="2">
        <f t="shared" si="20"/>
        <v>55.15008034230266</v>
      </c>
      <c r="N48" s="2"/>
      <c r="Q48" s="2"/>
      <c r="R48" s="2">
        <f>F48/13*0.9</f>
        <v>30.65953846153846</v>
      </c>
      <c r="S48" s="10">
        <f>R48*R26</f>
        <v>102.40285846153846</v>
      </c>
      <c r="T48" s="4">
        <f t="shared" si="21"/>
        <v>1228.8343015384614</v>
      </c>
      <c r="U48">
        <f>G36/8</f>
        <v>17.61329176470588</v>
      </c>
      <c r="V48">
        <f>G48/8</f>
        <v>0.5744800035656528</v>
      </c>
    </row>
    <row r="49" spans="1:20" ht="12.75">
      <c r="A49" t="s">
        <v>299</v>
      </c>
      <c r="B49" s="37"/>
      <c r="C49" t="s">
        <v>399</v>
      </c>
      <c r="E49">
        <v>610</v>
      </c>
      <c r="G49" s="2">
        <f>G36/Q49</f>
        <v>3.3365798607093113</v>
      </c>
      <c r="H49" s="2">
        <f>H36/Q49</f>
        <v>5.004869791063967</v>
      </c>
      <c r="I49" s="2">
        <f>I36/Q49</f>
        <v>6.706525520025717</v>
      </c>
      <c r="J49" s="2">
        <f>J36/Q49</f>
        <v>10.009739582127933</v>
      </c>
      <c r="K49" s="2">
        <f t="shared" si="18"/>
        <v>20.019479164255866</v>
      </c>
      <c r="L49" s="2">
        <f t="shared" si="19"/>
        <v>30.029218746383798</v>
      </c>
      <c r="M49" s="2">
        <f t="shared" si="20"/>
        <v>40.03895832851173</v>
      </c>
      <c r="N49" s="2"/>
      <c r="O49" t="s">
        <v>1142</v>
      </c>
      <c r="Q49" s="2">
        <f>E49/13*0.9</f>
        <v>42.230769230769226</v>
      </c>
      <c r="S49" s="10">
        <f>Q49*R27</f>
        <v>214.95461538461535</v>
      </c>
      <c r="T49" s="4">
        <f t="shared" si="21"/>
        <v>2579.455384615384</v>
      </c>
    </row>
    <row r="50" spans="1:22" ht="12.75">
      <c r="A50" t="s">
        <v>178</v>
      </c>
      <c r="F50" s="4">
        <f>E49*0.726</f>
        <v>442.86</v>
      </c>
      <c r="G50" s="2">
        <f>G$36/$R50</f>
        <v>4.595840028525222</v>
      </c>
      <c r="H50" s="2">
        <f>H$36/$R50</f>
        <v>6.893760042787832</v>
      </c>
      <c r="I50" s="2">
        <f>I$36/$R50</f>
        <v>9.237638457335697</v>
      </c>
      <c r="J50" s="2">
        <f>J$36/$R50</f>
        <v>13.787520085575665</v>
      </c>
      <c r="K50" s="2">
        <f t="shared" si="18"/>
        <v>27.57504017115133</v>
      </c>
      <c r="L50" s="2">
        <f t="shared" si="19"/>
        <v>41.362560256726994</v>
      </c>
      <c r="M50" s="2">
        <f t="shared" si="20"/>
        <v>55.15008034230266</v>
      </c>
      <c r="N50" s="2"/>
      <c r="Q50" s="2"/>
      <c r="R50" s="2">
        <f>F50/13*0.9</f>
        <v>30.65953846153846</v>
      </c>
      <c r="S50" s="10">
        <f>R50*R27</f>
        <v>156.05705076923076</v>
      </c>
      <c r="T50" s="4">
        <f t="shared" si="21"/>
        <v>1872.6846092307692</v>
      </c>
      <c r="V50" t="s">
        <v>194</v>
      </c>
    </row>
    <row r="51" spans="1:22" ht="12.75">
      <c r="A51" t="s">
        <v>181</v>
      </c>
      <c r="B51" s="19"/>
      <c r="C51" t="s">
        <v>373</v>
      </c>
      <c r="E51">
        <v>1110</v>
      </c>
      <c r="G51" s="2">
        <f>G36/Q51</f>
        <v>1.8336159594889003</v>
      </c>
      <c r="H51" s="2">
        <f>H36/Q51</f>
        <v>2.7504239392333503</v>
      </c>
      <c r="I51" s="2">
        <f>I36/Q51</f>
        <v>3.6855680785726905</v>
      </c>
      <c r="J51" s="2">
        <f>J36/Q51</f>
        <v>5.5008478784667005</v>
      </c>
      <c r="K51" s="2">
        <f t="shared" si="18"/>
        <v>11.001695756933401</v>
      </c>
      <c r="L51" s="2">
        <f t="shared" si="19"/>
        <v>16.5025436354001</v>
      </c>
      <c r="M51" s="2">
        <f t="shared" si="20"/>
        <v>22.003391513866802</v>
      </c>
      <c r="N51" s="2"/>
      <c r="O51" t="s">
        <v>1142</v>
      </c>
      <c r="Q51" s="2">
        <f>E51/13*0.9</f>
        <v>76.84615384615385</v>
      </c>
      <c r="S51" s="10">
        <f>Q51*R26</f>
        <v>256.66615384615386</v>
      </c>
      <c r="T51" s="4">
        <f t="shared" si="21"/>
        <v>3079.9938461538463</v>
      </c>
      <c r="V51" t="s">
        <v>195</v>
      </c>
    </row>
    <row r="52" spans="1:22" ht="12.75">
      <c r="A52" t="s">
        <v>334</v>
      </c>
      <c r="B52" s="19"/>
      <c r="C52" s="3"/>
      <c r="F52" s="4">
        <f>E51*0.726</f>
        <v>805.86</v>
      </c>
      <c r="G52" s="2">
        <f>G$36/$R52</f>
        <v>2.525641817477824</v>
      </c>
      <c r="H52" s="2">
        <f>H$36/$R52</f>
        <v>3.788462726216736</v>
      </c>
      <c r="I52" s="2">
        <f>I$36/$R52</f>
        <v>5.076540053130428</v>
      </c>
      <c r="J52" s="2">
        <f>J$36/$R52</f>
        <v>7.576925452433472</v>
      </c>
      <c r="K52" s="2">
        <f t="shared" si="18"/>
        <v>15.153850904866944</v>
      </c>
      <c r="L52" s="2">
        <f t="shared" si="19"/>
        <v>22.730776357300417</v>
      </c>
      <c r="M52" s="2">
        <f t="shared" si="20"/>
        <v>30.30770180973389</v>
      </c>
      <c r="N52" s="2"/>
      <c r="R52" s="2">
        <f>F52/13*0.9</f>
        <v>55.7903076923077</v>
      </c>
      <c r="S52" s="10">
        <f>R52*R26</f>
        <v>186.33962769230772</v>
      </c>
      <c r="T52" s="4">
        <f t="shared" si="21"/>
        <v>2236.075532307693</v>
      </c>
      <c r="V52" t="s">
        <v>196</v>
      </c>
    </row>
    <row r="53" spans="1:22" ht="12.75">
      <c r="A53" t="s">
        <v>371</v>
      </c>
      <c r="B53" s="19"/>
      <c r="C53" t="s">
        <v>399</v>
      </c>
      <c r="E53">
        <v>1110</v>
      </c>
      <c r="F53" s="10"/>
      <c r="G53" s="2">
        <f>G36/Q53</f>
        <v>1.8336159594889003</v>
      </c>
      <c r="H53" s="2">
        <f>H36/Q53</f>
        <v>2.7504239392333503</v>
      </c>
      <c r="I53" s="2">
        <f>I36/Q53</f>
        <v>3.6855680785726905</v>
      </c>
      <c r="J53" s="2">
        <f>J36/Q53</f>
        <v>5.5008478784667005</v>
      </c>
      <c r="K53" s="2">
        <f t="shared" si="18"/>
        <v>11.001695756933401</v>
      </c>
      <c r="L53" s="2">
        <f t="shared" si="19"/>
        <v>16.5025436354001</v>
      </c>
      <c r="M53" s="2">
        <f t="shared" si="20"/>
        <v>22.003391513866802</v>
      </c>
      <c r="N53" s="2"/>
      <c r="O53" t="s">
        <v>1142</v>
      </c>
      <c r="Q53" s="2">
        <f>E53/13*0.9</f>
        <v>76.84615384615385</v>
      </c>
      <c r="S53" s="10">
        <f>Q53*R27</f>
        <v>391.1469230769231</v>
      </c>
      <c r="T53" s="4">
        <f t="shared" si="21"/>
        <v>4693.763076923077</v>
      </c>
      <c r="V53" t="s">
        <v>1035</v>
      </c>
    </row>
    <row r="54" spans="2:22" ht="12.75">
      <c r="B54" s="19"/>
      <c r="F54" s="4">
        <f>E53*0.726</f>
        <v>805.86</v>
      </c>
      <c r="G54" s="2">
        <f>G$36/$R54</f>
        <v>2.525641817477824</v>
      </c>
      <c r="H54" s="2">
        <f>H$36/$R54</f>
        <v>3.788462726216736</v>
      </c>
      <c r="I54" s="2">
        <f>I$36/$R54</f>
        <v>5.076540053130428</v>
      </c>
      <c r="J54" s="2">
        <f>J$36/$R54</f>
        <v>7.576925452433472</v>
      </c>
      <c r="K54" s="2">
        <f t="shared" si="18"/>
        <v>15.153850904866944</v>
      </c>
      <c r="L54" s="2">
        <f t="shared" si="19"/>
        <v>22.730776357300417</v>
      </c>
      <c r="M54" s="2">
        <f t="shared" si="20"/>
        <v>30.30770180973389</v>
      </c>
      <c r="N54" s="2"/>
      <c r="R54" s="2">
        <f>F54/13*0.9</f>
        <v>55.7903076923077</v>
      </c>
      <c r="S54" s="10">
        <f>R54*R27</f>
        <v>283.9726661538462</v>
      </c>
      <c r="T54" s="4">
        <f t="shared" si="21"/>
        <v>3407.6719938461547</v>
      </c>
      <c r="V54" t="s">
        <v>190</v>
      </c>
    </row>
    <row r="55" spans="1:22" ht="12.75">
      <c r="A55" s="24" t="s">
        <v>552</v>
      </c>
      <c r="C55" t="s">
        <v>373</v>
      </c>
      <c r="E55">
        <v>1510</v>
      </c>
      <c r="G55" s="2">
        <f>G36/Q55</f>
        <v>1.3478898775050858</v>
      </c>
      <c r="H55" s="2">
        <f>H36/Q55</f>
        <v>2.0218348162576283</v>
      </c>
      <c r="I55" s="2">
        <f>I36/Q55</f>
        <v>2.709258653785223</v>
      </c>
      <c r="J55" s="2">
        <f>J36/Q55</f>
        <v>4.043669632515257</v>
      </c>
      <c r="K55" s="2">
        <f t="shared" si="18"/>
        <v>8.087339265030513</v>
      </c>
      <c r="L55" s="2">
        <f t="shared" si="19"/>
        <v>12.131008897545769</v>
      </c>
      <c r="M55" s="2">
        <f t="shared" si="20"/>
        <v>16.174678530061026</v>
      </c>
      <c r="N55" s="2"/>
      <c r="O55" t="s">
        <v>1142</v>
      </c>
      <c r="Q55" s="2">
        <f>E55/13*0.9</f>
        <v>104.53846153846155</v>
      </c>
      <c r="S55" s="10">
        <f>Q55*R26</f>
        <v>349.15846153846155</v>
      </c>
      <c r="T55" s="4">
        <f t="shared" si="21"/>
        <v>4189.901538461539</v>
      </c>
      <c r="V55" t="s">
        <v>191</v>
      </c>
    </row>
    <row r="56" spans="1:22" ht="12.75">
      <c r="A56" t="s">
        <v>553</v>
      </c>
      <c r="C56" s="3"/>
      <c r="F56" s="4">
        <f>E55*0.726</f>
        <v>1096.26</v>
      </c>
      <c r="G56" s="2">
        <f>G$36/$R56</f>
        <v>1.8565976274174736</v>
      </c>
      <c r="H56" s="2">
        <f>H$36/$R56</f>
        <v>2.78489644112621</v>
      </c>
      <c r="I56" s="2">
        <f>I$36/$R56</f>
        <v>3.7317612311091226</v>
      </c>
      <c r="J56" s="2">
        <f>J$36/$R56</f>
        <v>5.56979288225242</v>
      </c>
      <c r="K56" s="2">
        <f t="shared" si="18"/>
        <v>11.13958576450484</v>
      </c>
      <c r="L56" s="2">
        <f t="shared" si="19"/>
        <v>16.70937864675726</v>
      </c>
      <c r="M56" s="2">
        <f t="shared" si="20"/>
        <v>22.27917152900968</v>
      </c>
      <c r="N56" s="2"/>
      <c r="R56" s="2">
        <f>F56/13*0.9</f>
        <v>75.89492307692308</v>
      </c>
      <c r="S56" s="10">
        <f>R56*R26</f>
        <v>253.48904307692308</v>
      </c>
      <c r="T56" s="4">
        <f t="shared" si="21"/>
        <v>3041.868516923077</v>
      </c>
      <c r="V56" t="s">
        <v>192</v>
      </c>
    </row>
    <row r="57" spans="1:22" ht="12.75">
      <c r="A57" t="s">
        <v>554</v>
      </c>
      <c r="C57" t="s">
        <v>399</v>
      </c>
      <c r="E57">
        <v>1510</v>
      </c>
      <c r="G57" s="2">
        <f>G36/Q57</f>
        <v>1.3478898775050858</v>
      </c>
      <c r="H57" s="2">
        <f>H36/Q57</f>
        <v>2.0218348162576283</v>
      </c>
      <c r="I57" s="2">
        <f>I36/Q57</f>
        <v>2.709258653785223</v>
      </c>
      <c r="J57" s="2">
        <f>J36/Q57</f>
        <v>4.043669632515257</v>
      </c>
      <c r="K57" s="2">
        <f t="shared" si="18"/>
        <v>8.087339265030513</v>
      </c>
      <c r="L57" s="2">
        <f t="shared" si="19"/>
        <v>12.131008897545769</v>
      </c>
      <c r="M57" s="2">
        <f t="shared" si="20"/>
        <v>16.174678530061026</v>
      </c>
      <c r="N57" s="2"/>
      <c r="O57" t="s">
        <v>1142</v>
      </c>
      <c r="Q57" s="2">
        <f>E57/13*0.9</f>
        <v>104.53846153846155</v>
      </c>
      <c r="S57" s="10">
        <f>Q57*R27</f>
        <v>532.1007692307693</v>
      </c>
      <c r="T57" s="4">
        <f t="shared" si="21"/>
        <v>6385.209230769231</v>
      </c>
      <c r="V57" t="s">
        <v>193</v>
      </c>
    </row>
    <row r="58" spans="1:22" ht="12.75">
      <c r="A58" t="s">
        <v>555</v>
      </c>
      <c r="F58" s="4">
        <f>E57*0.726</f>
        <v>1096.26</v>
      </c>
      <c r="G58" s="2">
        <f>G$36/$R58</f>
        <v>1.8565976274174736</v>
      </c>
      <c r="H58" s="2">
        <f>H$36/$R58</f>
        <v>2.78489644112621</v>
      </c>
      <c r="I58" s="2">
        <f>I$36/$R58</f>
        <v>3.7317612311091226</v>
      </c>
      <c r="J58" s="2">
        <f>J$36/$R58</f>
        <v>5.56979288225242</v>
      </c>
      <c r="K58" s="2">
        <f t="shared" si="18"/>
        <v>11.13958576450484</v>
      </c>
      <c r="L58" s="2">
        <f t="shared" si="19"/>
        <v>16.70937864675726</v>
      </c>
      <c r="M58" s="2">
        <f t="shared" si="20"/>
        <v>22.27917152900968</v>
      </c>
      <c r="N58" s="2"/>
      <c r="R58" s="2">
        <f>F58/13*0.9</f>
        <v>75.89492307692308</v>
      </c>
      <c r="S58" s="10">
        <f>R58*R27</f>
        <v>386.30515846153844</v>
      </c>
      <c r="T58" s="4">
        <f t="shared" si="21"/>
        <v>4635.661901538461</v>
      </c>
      <c r="V58" t="s">
        <v>801</v>
      </c>
    </row>
    <row r="59" spans="1:22" ht="12.75">
      <c r="A59" t="s">
        <v>556</v>
      </c>
      <c r="C59" t="s">
        <v>373</v>
      </c>
      <c r="E59">
        <v>2100</v>
      </c>
      <c r="G59" s="2">
        <f>G36/Q59</f>
        <v>0.9691970071584188</v>
      </c>
      <c r="H59" s="2">
        <f>H36/Q59</f>
        <v>1.4537955107376281</v>
      </c>
      <c r="I59" s="2">
        <f>I36/Q59</f>
        <v>1.9480859843884224</v>
      </c>
      <c r="J59" s="2">
        <f>J36/Q59</f>
        <v>2.9075910214752563</v>
      </c>
      <c r="K59" s="2">
        <f t="shared" si="18"/>
        <v>5.8151820429505126</v>
      </c>
      <c r="L59" s="2">
        <f t="shared" si="19"/>
        <v>8.72277306442577</v>
      </c>
      <c r="M59" s="2">
        <f t="shared" si="20"/>
        <v>11.630364085901025</v>
      </c>
      <c r="N59" s="2"/>
      <c r="O59" t="s">
        <v>1142</v>
      </c>
      <c r="Q59" s="2">
        <f>E59/13*0.9</f>
        <v>145.3846153846154</v>
      </c>
      <c r="S59" s="10">
        <f>Q59*R26</f>
        <v>485.58461538461535</v>
      </c>
      <c r="T59" s="4">
        <f t="shared" si="21"/>
        <v>5827.015384615384</v>
      </c>
      <c r="V59" t="s">
        <v>197</v>
      </c>
    </row>
    <row r="60" spans="1:22" ht="12.75">
      <c r="A60" t="s">
        <v>562</v>
      </c>
      <c r="C60" s="3"/>
      <c r="F60" s="4">
        <f>E59*0.726</f>
        <v>1524.6</v>
      </c>
      <c r="G60" s="2">
        <f>G$36/$R60</f>
        <v>1.334982103523993</v>
      </c>
      <c r="H60" s="2">
        <f>H$36/$R60</f>
        <v>2.0024731552859896</v>
      </c>
      <c r="I60" s="2">
        <f>I$36/$R60</f>
        <v>2.6833140280832266</v>
      </c>
      <c r="J60" s="2">
        <f>J$36/$R60</f>
        <v>4.004946310571979</v>
      </c>
      <c r="K60" s="2">
        <f t="shared" si="18"/>
        <v>8.009892621143958</v>
      </c>
      <c r="L60" s="2">
        <f t="shared" si="19"/>
        <v>12.014838931715937</v>
      </c>
      <c r="M60" s="2">
        <f t="shared" si="20"/>
        <v>16.019785242287917</v>
      </c>
      <c r="N60" s="2"/>
      <c r="R60" s="2">
        <f>F60/13*0.9</f>
        <v>105.54923076923076</v>
      </c>
      <c r="S60" s="10">
        <f>R60*R26</f>
        <v>352.5344307692307</v>
      </c>
      <c r="T60" s="4">
        <f t="shared" si="21"/>
        <v>4230.413169230768</v>
      </c>
      <c r="V60" t="s">
        <v>198</v>
      </c>
    </row>
    <row r="61" spans="1:22" ht="12.75">
      <c r="A61" t="s">
        <v>563</v>
      </c>
      <c r="C61" t="s">
        <v>399</v>
      </c>
      <c r="E61">
        <v>2100</v>
      </c>
      <c r="G61" s="2">
        <f>G36/Q61</f>
        <v>0.9691970071584188</v>
      </c>
      <c r="H61" s="2">
        <f>H36/Q61</f>
        <v>1.4537955107376281</v>
      </c>
      <c r="I61" s="2">
        <f>I36/Q61</f>
        <v>1.9480859843884224</v>
      </c>
      <c r="J61" s="2">
        <f>J36/Q61</f>
        <v>2.9075910214752563</v>
      </c>
      <c r="K61" s="2">
        <f t="shared" si="18"/>
        <v>5.8151820429505126</v>
      </c>
      <c r="L61" s="2">
        <f t="shared" si="19"/>
        <v>8.72277306442577</v>
      </c>
      <c r="M61" s="2">
        <f t="shared" si="20"/>
        <v>11.630364085901025</v>
      </c>
      <c r="N61" s="2"/>
      <c r="O61" t="s">
        <v>1142</v>
      </c>
      <c r="Q61" s="2">
        <f>E61/13*0.9</f>
        <v>145.3846153846154</v>
      </c>
      <c r="S61" s="10">
        <f>Q61*R27</f>
        <v>740.0076923076923</v>
      </c>
      <c r="T61" s="4">
        <f t="shared" si="21"/>
        <v>8880.092307692308</v>
      </c>
      <c r="V61" t="s">
        <v>576</v>
      </c>
    </row>
    <row r="62" spans="1:20" ht="12.75">
      <c r="A62" t="s">
        <v>565</v>
      </c>
      <c r="F62" s="4">
        <f>E61*0.726</f>
        <v>1524.6</v>
      </c>
      <c r="G62" s="2">
        <f>G$36/$R62</f>
        <v>1.334982103523993</v>
      </c>
      <c r="H62" s="2">
        <f>H$36/$R62</f>
        <v>2.0024731552859896</v>
      </c>
      <c r="I62" s="2">
        <f>I$36/$R62</f>
        <v>2.6833140280832266</v>
      </c>
      <c r="J62" s="2">
        <f>J$36/$R62</f>
        <v>4.004946310571979</v>
      </c>
      <c r="K62" s="2">
        <f t="shared" si="18"/>
        <v>8.009892621143958</v>
      </c>
      <c r="L62" s="2">
        <f t="shared" si="19"/>
        <v>12.014838931715937</v>
      </c>
      <c r="M62" s="2">
        <f t="shared" si="20"/>
        <v>16.019785242287917</v>
      </c>
      <c r="N62" s="2"/>
      <c r="R62" s="2">
        <f>F62/13*0.9</f>
        <v>105.54923076923076</v>
      </c>
      <c r="S62" s="10">
        <f>R62*R27</f>
        <v>537.2455846153846</v>
      </c>
      <c r="T62" s="4">
        <f t="shared" si="21"/>
        <v>6446.947015384615</v>
      </c>
    </row>
    <row r="63" spans="1:14" ht="12.75">
      <c r="A63" t="s">
        <v>566</v>
      </c>
      <c r="E63" s="46" t="s">
        <v>656</v>
      </c>
      <c r="F63" s="46" t="s">
        <v>651</v>
      </c>
      <c r="G63" s="26"/>
      <c r="H63" s="26"/>
      <c r="I63" s="26"/>
      <c r="J63" s="26"/>
      <c r="K63" s="26"/>
      <c r="L63" s="26"/>
      <c r="M63" s="26"/>
      <c r="N63" s="26"/>
    </row>
    <row r="64" spans="1:20" ht="12.75">
      <c r="A64" t="s">
        <v>569</v>
      </c>
      <c r="C64" t="s">
        <v>1143</v>
      </c>
      <c r="G64" s="25">
        <f>G36/Q64</f>
        <v>2.1677897556561083</v>
      </c>
      <c r="H64" s="25">
        <f>H36/Q64</f>
        <v>3.2516846334841625</v>
      </c>
      <c r="I64" s="25">
        <f>I36/Q64</f>
        <v>4.3572574088687785</v>
      </c>
      <c r="J64" s="25">
        <f>J36/Q64</f>
        <v>6.503369266968325</v>
      </c>
      <c r="K64" s="25">
        <f>J64*2</f>
        <v>13.00673853393665</v>
      </c>
      <c r="L64" s="25">
        <f>J64*3</f>
        <v>19.510107800904976</v>
      </c>
      <c r="M64" s="25">
        <f>J64*M3</f>
        <v>45.52358486877827</v>
      </c>
      <c r="N64" s="25"/>
      <c r="O64" t="s">
        <v>1142</v>
      </c>
      <c r="Q64" s="4">
        <v>65</v>
      </c>
      <c r="R64" t="s">
        <v>372</v>
      </c>
      <c r="T64" t="s">
        <v>953</v>
      </c>
    </row>
    <row r="65" spans="3:20" ht="12.75">
      <c r="C65" t="s">
        <v>938</v>
      </c>
      <c r="E65">
        <f>SUM(B66:D66)</f>
        <v>830</v>
      </c>
      <c r="G65" s="25">
        <f aca="true" t="shared" si="22" ref="G65:M65">G36/$Q65</f>
        <v>2.4521851988345538</v>
      </c>
      <c r="H65" s="25">
        <f t="shared" si="22"/>
        <v>3.6782777982518304</v>
      </c>
      <c r="I65" s="25">
        <f t="shared" si="22"/>
        <v>4.928892249657454</v>
      </c>
      <c r="J65" s="25">
        <f t="shared" si="22"/>
        <v>7.356555596503661</v>
      </c>
      <c r="K65" s="25">
        <f t="shared" si="22"/>
        <v>14.713111193007322</v>
      </c>
      <c r="L65" s="25">
        <f t="shared" si="22"/>
        <v>22.069666789510983</v>
      </c>
      <c r="M65" s="25">
        <f t="shared" si="22"/>
        <v>51.495889175525626</v>
      </c>
      <c r="N65" s="25"/>
      <c r="Q65" s="2">
        <f>E65/13*0.9</f>
        <v>57.46153846153846</v>
      </c>
      <c r="T65" t="s">
        <v>945</v>
      </c>
    </row>
    <row r="66" spans="1:17" ht="12.75">
      <c r="A66" t="s">
        <v>802</v>
      </c>
      <c r="B66">
        <v>320</v>
      </c>
      <c r="C66">
        <v>360</v>
      </c>
      <c r="D66">
        <v>150</v>
      </c>
      <c r="G66" s="2"/>
      <c r="H66" s="2"/>
      <c r="I66" s="2"/>
      <c r="J66" s="22"/>
      <c r="K66" s="2"/>
      <c r="L66" s="2"/>
      <c r="M66" s="2"/>
      <c r="N66" s="2"/>
      <c r="Q66" s="2" t="s">
        <v>941</v>
      </c>
    </row>
    <row r="67" spans="5:17" ht="12.75">
      <c r="E67" s="8"/>
      <c r="F67" s="8"/>
      <c r="G67" s="39" t="s">
        <v>1021</v>
      </c>
      <c r="H67" s="39" t="s">
        <v>957</v>
      </c>
      <c r="I67" s="39" t="s">
        <v>958</v>
      </c>
      <c r="J67" s="43" t="s">
        <v>667</v>
      </c>
      <c r="K67" s="39" t="s">
        <v>967</v>
      </c>
      <c r="L67" s="39" t="s">
        <v>968</v>
      </c>
      <c r="M67" s="45">
        <f>M3</f>
        <v>7</v>
      </c>
      <c r="N67" s="45"/>
      <c r="O67" s="39" t="s">
        <v>1026</v>
      </c>
      <c r="P67" s="39"/>
      <c r="Q67" t="s">
        <v>949</v>
      </c>
    </row>
    <row r="68" spans="5:17" ht="12.75">
      <c r="E68" s="8"/>
      <c r="F68" s="8"/>
      <c r="G68" s="39"/>
      <c r="H68" s="39"/>
      <c r="I68" s="39"/>
      <c r="J68" s="68"/>
      <c r="K68" s="39"/>
      <c r="L68" s="39"/>
      <c r="M68" s="45"/>
      <c r="N68" s="45"/>
      <c r="O68" s="39"/>
      <c r="P68" s="39"/>
      <c r="Q68" t="s">
        <v>454</v>
      </c>
    </row>
    <row r="69" spans="5:17" ht="12.75">
      <c r="E69" s="8"/>
      <c r="F69" s="8"/>
      <c r="G69" s="39"/>
      <c r="H69" s="39"/>
      <c r="I69" s="39"/>
      <c r="J69" s="68"/>
      <c r="K69" s="39"/>
      <c r="L69" s="39"/>
      <c r="M69" s="45"/>
      <c r="N69" s="45"/>
      <c r="O69" s="39"/>
      <c r="P69" s="39"/>
      <c r="Q69" s="39"/>
    </row>
    <row r="70" ht="12.75">
      <c r="A70" t="s">
        <v>695</v>
      </c>
    </row>
    <row r="71" spans="1:11" ht="12.75">
      <c r="A71" t="s">
        <v>701</v>
      </c>
      <c r="G71" s="2"/>
      <c r="H71" s="2"/>
      <c r="I71" s="2"/>
      <c r="J71" s="2"/>
      <c r="K71" s="3"/>
    </row>
    <row r="72" spans="1:18" ht="12.75">
      <c r="A72" t="s">
        <v>455</v>
      </c>
      <c r="R72" s="2"/>
    </row>
    <row r="73" spans="1:18" ht="12.75">
      <c r="A73" t="s">
        <v>536</v>
      </c>
      <c r="R73" s="2"/>
    </row>
    <row r="74" spans="1:18" ht="12.75">
      <c r="A74" t="s">
        <v>645</v>
      </c>
      <c r="R74" s="2"/>
    </row>
    <row r="75" spans="1:18" ht="12.75">
      <c r="A75" t="s">
        <v>702</v>
      </c>
      <c r="R75" s="2"/>
    </row>
    <row r="76" spans="1:18" ht="12.75">
      <c r="A76" t="s">
        <v>1093</v>
      </c>
      <c r="R76" s="2"/>
    </row>
    <row r="77" ht="12.75">
      <c r="A77" t="s">
        <v>703</v>
      </c>
    </row>
    <row r="78" ht="12.75">
      <c r="A78" t="s">
        <v>704</v>
      </c>
    </row>
    <row r="79" ht="12.75">
      <c r="A79" t="s">
        <v>457</v>
      </c>
    </row>
    <row r="81" ht="12.75">
      <c r="A81" t="s">
        <v>1094</v>
      </c>
    </row>
    <row r="82" ht="12.75">
      <c r="A82" t="s">
        <v>1104</v>
      </c>
    </row>
    <row r="84" ht="12.75">
      <c r="A84" t="s">
        <v>933</v>
      </c>
    </row>
    <row r="85" ht="12.75">
      <c r="A85" t="s">
        <v>937</v>
      </c>
    </row>
    <row r="87" spans="1:4" ht="12.75">
      <c r="A87" t="s">
        <v>652</v>
      </c>
      <c r="D87" t="s">
        <v>987</v>
      </c>
    </row>
    <row r="89" ht="12.75">
      <c r="A89" t="s">
        <v>131</v>
      </c>
    </row>
    <row r="92" ht="12.75">
      <c r="A92" t="s">
        <v>551</v>
      </c>
    </row>
    <row r="94" ht="12.75">
      <c r="A94" t="s">
        <v>133</v>
      </c>
    </row>
    <row r="95" ht="12.75">
      <c r="A95" t="s">
        <v>371</v>
      </c>
    </row>
    <row r="97" ht="12.75">
      <c r="A97" t="s">
        <v>134</v>
      </c>
    </row>
    <row r="98" ht="12.75">
      <c r="A98" t="s">
        <v>135</v>
      </c>
    </row>
    <row r="102" ht="12.75">
      <c r="A102" s="24"/>
    </row>
  </sheetData>
  <sheetProtection/>
  <conditionalFormatting sqref="G37:N37">
    <cfRule type="expression" priority="1" dxfId="0" stopIfTrue="1">
      <formula>G33&lt;=$R$17</formula>
    </cfRule>
    <cfRule type="expression" priority="2" dxfId="4" stopIfTrue="1">
      <formula>G33&gt;$R$17</formula>
    </cfRule>
  </conditionalFormatting>
  <conditionalFormatting sqref="G66:N66">
    <cfRule type="expression" priority="3" dxfId="0" stopIfTrue="1">
      <formula>G33&lt;=$R$17</formula>
    </cfRule>
    <cfRule type="expression" priority="4" dxfId="4" stopIfTrue="1">
      <formula>G33&gt;$R$17</formula>
    </cfRule>
  </conditionalFormatting>
  <conditionalFormatting sqref="G64:N65">
    <cfRule type="cellIs" priority="5" dxfId="0" operator="lessThan" stopIfTrue="1">
      <formula>24</formula>
    </cfRule>
    <cfRule type="cellIs" priority="6" dxfId="4" operator="greaterThanOrEqual" stopIfTrue="1">
      <formula>24</formula>
    </cfRule>
  </conditionalFormatting>
  <conditionalFormatting sqref="G63:N63">
    <cfRule type="cellIs" priority="7" dxfId="0" operator="lessThanOrEqual" stopIfTrue="1">
      <formula>$R$27</formula>
    </cfRule>
    <cfRule type="cellIs" priority="8" dxfId="4" operator="greaterThan" stopIfTrue="1">
      <formula>$R$27</formula>
    </cfRule>
  </conditionalFormatting>
  <conditionalFormatting sqref="G41:N42 G45:N46 G49:N50 G53:N54 G61:N62 G57:N58">
    <cfRule type="cellIs" priority="9" dxfId="0" operator="lessThanOrEqual" stopIfTrue="1">
      <formula>$R$27</formula>
    </cfRule>
    <cfRule type="cellIs" priority="10" dxfId="12" operator="greaterThan" stopIfTrue="1">
      <formula>$R$27</formula>
    </cfRule>
  </conditionalFormatting>
  <conditionalFormatting sqref="G43:N44 G47:N48 G51:N52 G55:N56 G59:N60 G39:N40">
    <cfRule type="cellIs" priority="11" dxfId="0" operator="lessThanOrEqual" stopIfTrue="1">
      <formula>$R$26</formula>
    </cfRule>
    <cfRule type="cellIs" priority="12" dxfId="10" operator="greaterThan" stopIfTrue="1">
      <formula>$R$26</formula>
    </cfRule>
  </conditionalFormatting>
  <conditionalFormatting sqref="G33:M33">
    <cfRule type="cellIs" priority="13" dxfId="4" operator="greaterThan" stopIfTrue="1">
      <formula>$R$17</formula>
    </cfRule>
    <cfRule type="cellIs" priority="14" dxfId="5" operator="lessThanOrEqual" stopIfTrue="1">
      <formula>$R$17</formula>
    </cfRule>
  </conditionalFormatting>
  <conditionalFormatting sqref="B32">
    <cfRule type="cellIs" priority="15" dxfId="4" operator="greaterThan" stopIfTrue="1">
      <formula>$R$19</formula>
    </cfRule>
  </conditionalFormatting>
  <conditionalFormatting sqref="G34:N34">
    <cfRule type="cellIs" priority="16" dxfId="4" operator="greaterThan" stopIfTrue="1">
      <formula>$F$34</formula>
    </cfRule>
  </conditionalFormatting>
  <conditionalFormatting sqref="G35:N35">
    <cfRule type="cellIs" priority="17" dxfId="5" operator="lessThanOrEqual" stopIfTrue="1">
      <formula>20</formula>
    </cfRule>
    <cfRule type="cellIs" priority="18" dxfId="4" operator="between" stopIfTrue="1">
      <formula>50</formula>
      <formula>80</formula>
    </cfRule>
    <cfRule type="cellIs" priority="19" dxfId="3" operator="greaterThan" stopIfTrue="1">
      <formula>80</formula>
    </cfRule>
  </conditionalFormatting>
  <conditionalFormatting sqref="O32">
    <cfRule type="cellIs" priority="20" dxfId="5" operator="lessThan" stopIfTrue="1">
      <formula>$R$19*0.8</formula>
    </cfRule>
    <cfRule type="cellIs" priority="21" dxfId="4" operator="between" stopIfTrue="1">
      <formula>$R$19*0.8</formula>
      <formula>$R$19</formula>
    </cfRule>
    <cfRule type="cellIs" priority="22" dxfId="3" operator="greaterThan" stopIfTrue="1">
      <formula>$R$19</formula>
    </cfRule>
  </conditionalFormatting>
  <conditionalFormatting sqref="P32">
    <cfRule type="cellIs" priority="23" dxfId="5" operator="lessThan" stopIfTrue="1">
      <formula>$R$19</formula>
    </cfRule>
    <cfRule type="cellIs" priority="24" dxfId="4" operator="between" stopIfTrue="1">
      <formula>$R$19</formula>
      <formula>$R$19*1.5</formula>
    </cfRule>
    <cfRule type="cellIs" priority="25" dxfId="3" operator="greaterThan" stopIfTrue="1">
      <formula>$R$19*1.5</formula>
    </cfRule>
  </conditionalFormatting>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X308"/>
  <sheetViews>
    <sheetView zoomScalePageLayoutView="0" workbookViewId="0" topLeftCell="A1">
      <pane ySplit="3" topLeftCell="A4" activePane="bottomLeft" state="frozen"/>
      <selection pane="topLeft" activeCell="A1" sqref="A1"/>
      <selection pane="bottomLeft" activeCell="D21" sqref="D21"/>
    </sheetView>
  </sheetViews>
  <sheetFormatPr defaultColWidth="9.140625" defaultRowHeight="12.75"/>
  <cols>
    <col min="1" max="1" width="19.00390625" style="0" customWidth="1"/>
    <col min="2" max="2" width="6.28125" style="0" customWidth="1"/>
    <col min="3" max="3" width="8.140625" style="0" customWidth="1"/>
    <col min="5" max="5" width="7.00390625" style="0" customWidth="1"/>
    <col min="6" max="6" width="7.28125" style="0" customWidth="1"/>
    <col min="7" max="7" width="7.00390625" style="0" customWidth="1"/>
    <col min="14" max="14" width="5.57421875" style="0" customWidth="1"/>
    <col min="15" max="15" width="6.28125" style="0" customWidth="1"/>
    <col min="16" max="16" width="6.57421875" style="0" customWidth="1"/>
    <col min="17" max="17" width="6.8515625" style="0" customWidth="1"/>
    <col min="18" max="18" width="6.140625" style="0" customWidth="1"/>
    <col min="19" max="19" width="10.140625" style="0" customWidth="1"/>
    <col min="20" max="20" width="4.7109375" style="0" customWidth="1"/>
    <col min="21" max="21" width="5.28125" style="0" customWidth="1"/>
  </cols>
  <sheetData>
    <row r="1" spans="1:7" ht="12.75">
      <c r="A1" s="50" t="s">
        <v>676</v>
      </c>
      <c r="G1" s="8" t="s">
        <v>875</v>
      </c>
    </row>
    <row r="2" spans="1:22" ht="28.5" customHeight="1">
      <c r="A2" s="18" t="s">
        <v>1078</v>
      </c>
      <c r="B2" s="18" t="s">
        <v>1079</v>
      </c>
      <c r="C2" s="18" t="s">
        <v>1043</v>
      </c>
      <c r="D2" s="18" t="s">
        <v>1044</v>
      </c>
      <c r="E2" s="18" t="s">
        <v>1045</v>
      </c>
      <c r="F2" s="18" t="s">
        <v>425</v>
      </c>
      <c r="G2" s="18" t="s">
        <v>1038</v>
      </c>
      <c r="H2" s="18" t="s">
        <v>1039</v>
      </c>
      <c r="I2" s="18" t="s">
        <v>1040</v>
      </c>
      <c r="J2" s="18" t="s">
        <v>1041</v>
      </c>
      <c r="K2" s="18" t="s">
        <v>967</v>
      </c>
      <c r="L2" s="18" t="s">
        <v>968</v>
      </c>
      <c r="M2" s="18" t="s">
        <v>1042</v>
      </c>
      <c r="N2" s="59" t="s">
        <v>1062</v>
      </c>
      <c r="O2" s="58"/>
      <c r="P2" s="58"/>
      <c r="Q2" s="58"/>
      <c r="R2" s="58"/>
      <c r="S2" s="57"/>
      <c r="T2" s="57" t="s">
        <v>277</v>
      </c>
      <c r="U2" s="57"/>
      <c r="V2" s="57"/>
    </row>
    <row r="3" spans="1:20" ht="12.75">
      <c r="A3" s="18" t="s">
        <v>1020</v>
      </c>
      <c r="B3" s="18"/>
      <c r="C3" s="18"/>
      <c r="D3" s="18"/>
      <c r="E3" s="18"/>
      <c r="F3" s="18"/>
      <c r="G3" s="44">
        <v>8</v>
      </c>
      <c r="H3" s="18"/>
      <c r="I3" s="18"/>
      <c r="J3" s="18"/>
      <c r="K3" s="18"/>
      <c r="L3" s="18"/>
      <c r="M3" s="44">
        <v>7</v>
      </c>
      <c r="N3" s="60" t="s">
        <v>1063</v>
      </c>
      <c r="T3" s="69" t="s">
        <v>109</v>
      </c>
    </row>
    <row r="4" spans="1:15" ht="12.75">
      <c r="A4" s="20" t="s">
        <v>402</v>
      </c>
      <c r="C4" s="2">
        <f aca="true" t="shared" si="0" ref="C4:C9">B4/($O$18/100)/12</f>
        <v>0</v>
      </c>
      <c r="D4" s="2">
        <v>5.4</v>
      </c>
      <c r="E4" s="2">
        <f aca="true" t="shared" si="1" ref="E4:E30">C4*D4</f>
        <v>0</v>
      </c>
      <c r="F4" s="4">
        <f aca="true" t="shared" si="2" ref="F4:F9">(B4*D4)/($O$18/100)</f>
        <v>0</v>
      </c>
      <c r="G4" s="2">
        <f aca="true" t="shared" si="3" ref="G4:G30">J4*(G$3/24)</f>
        <v>0</v>
      </c>
      <c r="H4" s="2">
        <f aca="true" t="shared" si="4" ref="H4:H30">J4*0.5</f>
        <v>0</v>
      </c>
      <c r="I4" s="2">
        <f aca="true" t="shared" si="5" ref="I4:I30">J4*0.67</f>
        <v>0</v>
      </c>
      <c r="J4" s="2">
        <f aca="true" t="shared" si="6" ref="J4:J30">E4*$X$16</f>
        <v>0</v>
      </c>
      <c r="K4" s="2">
        <f aca="true" t="shared" si="7" ref="K4:K30">J4*2</f>
        <v>0</v>
      </c>
      <c r="L4" s="2">
        <f aca="true" t="shared" si="8" ref="L4:L30">J4*3</f>
        <v>0</v>
      </c>
      <c r="M4" s="2">
        <f aca="true" t="shared" si="9" ref="M4:M30">J4*M$3</f>
        <v>0</v>
      </c>
      <c r="O4" s="8" t="s">
        <v>295</v>
      </c>
    </row>
    <row r="5" spans="1:15" ht="12.75">
      <c r="A5" s="27" t="s">
        <v>1109</v>
      </c>
      <c r="C5" s="2">
        <f t="shared" si="0"/>
        <v>0</v>
      </c>
      <c r="D5" s="2">
        <v>24</v>
      </c>
      <c r="E5" s="2">
        <f t="shared" si="1"/>
        <v>0</v>
      </c>
      <c r="F5" s="4">
        <f t="shared" si="2"/>
        <v>0</v>
      </c>
      <c r="G5" s="2">
        <f t="shared" si="3"/>
        <v>0</v>
      </c>
      <c r="H5" s="2">
        <f t="shared" si="4"/>
        <v>0</v>
      </c>
      <c r="I5" s="2">
        <f t="shared" si="5"/>
        <v>0</v>
      </c>
      <c r="J5" s="2">
        <f t="shared" si="6"/>
        <v>0</v>
      </c>
      <c r="K5" s="2">
        <f t="shared" si="7"/>
        <v>0</v>
      </c>
      <c r="L5" s="2">
        <f t="shared" si="8"/>
        <v>0</v>
      </c>
      <c r="M5" s="2">
        <f t="shared" si="9"/>
        <v>0</v>
      </c>
      <c r="O5" s="8" t="s">
        <v>297</v>
      </c>
    </row>
    <row r="6" spans="1:15" ht="12.75">
      <c r="A6" t="s">
        <v>300</v>
      </c>
      <c r="C6" s="2">
        <f t="shared" si="0"/>
        <v>0</v>
      </c>
      <c r="D6" s="2">
        <v>24</v>
      </c>
      <c r="E6" s="2">
        <f t="shared" si="1"/>
        <v>0</v>
      </c>
      <c r="F6" s="4">
        <f t="shared" si="2"/>
        <v>0</v>
      </c>
      <c r="G6" s="2">
        <f t="shared" si="3"/>
        <v>0</v>
      </c>
      <c r="H6" s="2">
        <f t="shared" si="4"/>
        <v>0</v>
      </c>
      <c r="I6" s="2">
        <f t="shared" si="5"/>
        <v>0</v>
      </c>
      <c r="J6" s="2">
        <f t="shared" si="6"/>
        <v>0</v>
      </c>
      <c r="K6" s="2">
        <f t="shared" si="7"/>
        <v>0</v>
      </c>
      <c r="L6" s="2">
        <f t="shared" si="8"/>
        <v>0</v>
      </c>
      <c r="M6" s="2">
        <f t="shared" si="9"/>
        <v>0</v>
      </c>
      <c r="O6" s="8" t="s">
        <v>103</v>
      </c>
    </row>
    <row r="7" spans="1:15" ht="12.75">
      <c r="A7" s="28" t="s">
        <v>456</v>
      </c>
      <c r="B7">
        <v>14</v>
      </c>
      <c r="C7" s="2">
        <f t="shared" si="0"/>
        <v>1.2962962962962963</v>
      </c>
      <c r="D7" s="2">
        <v>24</v>
      </c>
      <c r="E7" s="2">
        <f t="shared" si="1"/>
        <v>31.11111111111111</v>
      </c>
      <c r="F7" s="4">
        <f t="shared" si="2"/>
        <v>373.3333333333333</v>
      </c>
      <c r="G7" s="2">
        <f t="shared" si="3"/>
        <v>20.74074074074074</v>
      </c>
      <c r="H7" s="2">
        <f t="shared" si="4"/>
        <v>31.11111111111111</v>
      </c>
      <c r="I7" s="2">
        <f t="shared" si="5"/>
        <v>41.68888888888889</v>
      </c>
      <c r="J7" s="2">
        <f t="shared" si="6"/>
        <v>62.22222222222222</v>
      </c>
      <c r="K7" s="2">
        <f t="shared" si="7"/>
        <v>124.44444444444444</v>
      </c>
      <c r="L7" s="2">
        <f t="shared" si="8"/>
        <v>186.66666666666666</v>
      </c>
      <c r="M7" s="2">
        <f t="shared" si="9"/>
        <v>435.55555555555554</v>
      </c>
      <c r="O7" s="8" t="s">
        <v>104</v>
      </c>
    </row>
    <row r="8" spans="1:15" ht="12.75">
      <c r="A8" t="s">
        <v>891</v>
      </c>
      <c r="B8">
        <v>16</v>
      </c>
      <c r="C8" s="2">
        <f t="shared" si="0"/>
        <v>1.4814814814814816</v>
      </c>
      <c r="D8" s="2">
        <v>24</v>
      </c>
      <c r="E8" s="2">
        <f t="shared" si="1"/>
        <v>35.55555555555556</v>
      </c>
      <c r="F8" s="4">
        <f t="shared" si="2"/>
        <v>426.66666666666663</v>
      </c>
      <c r="G8" s="2">
        <f t="shared" si="3"/>
        <v>23.703703703703702</v>
      </c>
      <c r="H8" s="2">
        <f t="shared" si="4"/>
        <v>35.55555555555556</v>
      </c>
      <c r="I8" s="2">
        <f t="shared" si="5"/>
        <v>47.64444444444445</v>
      </c>
      <c r="J8" s="2">
        <f t="shared" si="6"/>
        <v>71.11111111111111</v>
      </c>
      <c r="K8" s="2">
        <f t="shared" si="7"/>
        <v>142.22222222222223</v>
      </c>
      <c r="L8" s="2">
        <f t="shared" si="8"/>
        <v>213.33333333333334</v>
      </c>
      <c r="M8" s="2">
        <f t="shared" si="9"/>
        <v>497.7777777777778</v>
      </c>
      <c r="O8" s="8" t="s">
        <v>105</v>
      </c>
    </row>
    <row r="9" spans="1:15" ht="12.75">
      <c r="A9" t="s">
        <v>894</v>
      </c>
      <c r="C9" s="2">
        <f t="shared" si="0"/>
        <v>0</v>
      </c>
      <c r="D9" s="2">
        <v>24</v>
      </c>
      <c r="E9" s="2">
        <f t="shared" si="1"/>
        <v>0</v>
      </c>
      <c r="F9" s="4">
        <f t="shared" si="2"/>
        <v>0</v>
      </c>
      <c r="G9" s="2">
        <f t="shared" si="3"/>
        <v>0</v>
      </c>
      <c r="H9" s="2">
        <f t="shared" si="4"/>
        <v>0</v>
      </c>
      <c r="I9" s="2">
        <f t="shared" si="5"/>
        <v>0</v>
      </c>
      <c r="J9" s="2">
        <f t="shared" si="6"/>
        <v>0</v>
      </c>
      <c r="K9" s="2">
        <f t="shared" si="7"/>
        <v>0</v>
      </c>
      <c r="L9" s="2">
        <f t="shared" si="8"/>
        <v>0</v>
      </c>
      <c r="M9" s="2">
        <f t="shared" si="9"/>
        <v>0</v>
      </c>
      <c r="O9" s="8" t="s">
        <v>106</v>
      </c>
    </row>
    <row r="10" spans="1:15" ht="12.75">
      <c r="A10" s="28" t="s">
        <v>398</v>
      </c>
      <c r="B10" t="s">
        <v>1084</v>
      </c>
      <c r="C10" s="49">
        <f>IF(B31&gt;80,MAX(0,(1-B31/400)*O20),O20)</f>
        <v>0.3</v>
      </c>
      <c r="D10" s="2">
        <v>24</v>
      </c>
      <c r="E10" s="2">
        <f t="shared" si="1"/>
        <v>7.199999999999999</v>
      </c>
      <c r="F10" s="4">
        <f>E10*12.6</f>
        <v>90.71999999999998</v>
      </c>
      <c r="G10" s="2">
        <f t="shared" si="3"/>
        <v>4.799999999999999</v>
      </c>
      <c r="H10" s="2">
        <f t="shared" si="4"/>
        <v>7.199999999999999</v>
      </c>
      <c r="I10" s="2">
        <f t="shared" si="5"/>
        <v>9.648</v>
      </c>
      <c r="J10" s="2">
        <f t="shared" si="6"/>
        <v>14.399999999999999</v>
      </c>
      <c r="K10" s="2">
        <f t="shared" si="7"/>
        <v>28.799999999999997</v>
      </c>
      <c r="L10" s="2">
        <f t="shared" si="8"/>
        <v>43.199999999999996</v>
      </c>
      <c r="M10" s="2">
        <f t="shared" si="9"/>
        <v>100.79999999999998</v>
      </c>
      <c r="O10" s="8" t="s">
        <v>107</v>
      </c>
    </row>
    <row r="11" spans="1:15" ht="12.75">
      <c r="A11" t="s">
        <v>250</v>
      </c>
      <c r="B11" t="s">
        <v>1084</v>
      </c>
      <c r="C11" s="2"/>
      <c r="D11" s="2">
        <v>24</v>
      </c>
      <c r="E11" s="2">
        <f t="shared" si="1"/>
        <v>0</v>
      </c>
      <c r="F11" s="4">
        <f>IF(B11&lt;&gt;"n/a",((B11*D11)/0.9),E11*12.6)</f>
        <v>0</v>
      </c>
      <c r="G11" s="2">
        <f t="shared" si="3"/>
        <v>0</v>
      </c>
      <c r="H11" s="2">
        <f t="shared" si="4"/>
        <v>0</v>
      </c>
      <c r="I11" s="2">
        <f t="shared" si="5"/>
        <v>0</v>
      </c>
      <c r="J11" s="2">
        <f t="shared" si="6"/>
        <v>0</v>
      </c>
      <c r="K11" s="2">
        <f t="shared" si="7"/>
        <v>0</v>
      </c>
      <c r="L11" s="2">
        <f t="shared" si="8"/>
        <v>0</v>
      </c>
      <c r="M11" s="2">
        <f t="shared" si="9"/>
        <v>0</v>
      </c>
      <c r="O11" s="8" t="s">
        <v>108</v>
      </c>
    </row>
    <row r="12" spans="1:18" ht="12.75">
      <c r="A12" s="27" t="s">
        <v>524</v>
      </c>
      <c r="C12" s="2">
        <f aca="true" t="shared" si="10" ref="C12:C25">B12/($O$18/100)/12</f>
        <v>0</v>
      </c>
      <c r="D12" s="2">
        <v>8</v>
      </c>
      <c r="E12" s="2">
        <f t="shared" si="1"/>
        <v>0</v>
      </c>
      <c r="F12" s="4">
        <f aca="true" t="shared" si="11" ref="F12:F25">(B12*D12)/($O$18/100)</f>
        <v>0</v>
      </c>
      <c r="G12" s="2">
        <f t="shared" si="3"/>
        <v>0</v>
      </c>
      <c r="H12" s="2">
        <f t="shared" si="4"/>
        <v>0</v>
      </c>
      <c r="I12" s="2">
        <f t="shared" si="5"/>
        <v>0</v>
      </c>
      <c r="J12" s="2">
        <f t="shared" si="6"/>
        <v>0</v>
      </c>
      <c r="K12" s="2">
        <f t="shared" si="7"/>
        <v>0</v>
      </c>
      <c r="L12" s="2">
        <f t="shared" si="8"/>
        <v>0</v>
      </c>
      <c r="M12" s="2">
        <f t="shared" si="9"/>
        <v>0</v>
      </c>
      <c r="O12" s="8" t="s">
        <v>110</v>
      </c>
      <c r="R12" s="8" t="s">
        <v>249</v>
      </c>
    </row>
    <row r="13" spans="1:15" ht="12.75">
      <c r="A13" t="s">
        <v>1119</v>
      </c>
      <c r="C13" s="2">
        <f t="shared" si="10"/>
        <v>0</v>
      </c>
      <c r="D13" s="2">
        <v>4</v>
      </c>
      <c r="E13" s="2">
        <f t="shared" si="1"/>
        <v>0</v>
      </c>
      <c r="F13" s="4">
        <f t="shared" si="11"/>
        <v>0</v>
      </c>
      <c r="G13" s="2">
        <f t="shared" si="3"/>
        <v>0</v>
      </c>
      <c r="H13" s="2">
        <f t="shared" si="4"/>
        <v>0</v>
      </c>
      <c r="I13" s="2">
        <f t="shared" si="5"/>
        <v>0</v>
      </c>
      <c r="J13" s="2">
        <f t="shared" si="6"/>
        <v>0</v>
      </c>
      <c r="K13" s="2">
        <f t="shared" si="7"/>
        <v>0</v>
      </c>
      <c r="L13" s="2">
        <f t="shared" si="8"/>
        <v>0</v>
      </c>
      <c r="M13" s="2">
        <f t="shared" si="9"/>
        <v>0</v>
      </c>
      <c r="O13" s="8" t="s">
        <v>122</v>
      </c>
    </row>
    <row r="14" spans="1:15" ht="12.75">
      <c r="A14" s="27" t="s">
        <v>168</v>
      </c>
      <c r="C14" s="2">
        <f t="shared" si="10"/>
        <v>0</v>
      </c>
      <c r="D14" s="2">
        <v>6</v>
      </c>
      <c r="E14" s="2">
        <f t="shared" si="1"/>
        <v>0</v>
      </c>
      <c r="F14" s="4">
        <f t="shared" si="11"/>
        <v>0</v>
      </c>
      <c r="G14" s="2">
        <f t="shared" si="3"/>
        <v>0</v>
      </c>
      <c r="H14" s="2">
        <f t="shared" si="4"/>
        <v>0</v>
      </c>
      <c r="I14" s="2">
        <f t="shared" si="5"/>
        <v>0</v>
      </c>
      <c r="J14" s="2">
        <f t="shared" si="6"/>
        <v>0</v>
      </c>
      <c r="K14" s="2">
        <f t="shared" si="7"/>
        <v>0</v>
      </c>
      <c r="L14" s="2">
        <f t="shared" si="8"/>
        <v>0</v>
      </c>
      <c r="M14" s="2">
        <f t="shared" si="9"/>
        <v>0</v>
      </c>
      <c r="O14" s="8" t="s">
        <v>294</v>
      </c>
    </row>
    <row r="15" spans="1:15" ht="12.75">
      <c r="A15" s="27" t="s">
        <v>169</v>
      </c>
      <c r="C15" s="2">
        <f t="shared" si="10"/>
        <v>0</v>
      </c>
      <c r="D15" s="2">
        <v>24</v>
      </c>
      <c r="E15" s="2">
        <f t="shared" si="1"/>
        <v>0</v>
      </c>
      <c r="F15" s="4">
        <f t="shared" si="11"/>
        <v>0</v>
      </c>
      <c r="G15" s="2">
        <f t="shared" si="3"/>
        <v>0</v>
      </c>
      <c r="H15" s="2">
        <f t="shared" si="4"/>
        <v>0</v>
      </c>
      <c r="I15" s="2">
        <f t="shared" si="5"/>
        <v>0</v>
      </c>
      <c r="J15" s="2">
        <f t="shared" si="6"/>
        <v>0</v>
      </c>
      <c r="K15" s="2">
        <f t="shared" si="7"/>
        <v>0</v>
      </c>
      <c r="L15" s="2">
        <f t="shared" si="8"/>
        <v>0</v>
      </c>
      <c r="M15" s="2">
        <f t="shared" si="9"/>
        <v>0</v>
      </c>
      <c r="O15" s="8" t="s">
        <v>298</v>
      </c>
    </row>
    <row r="16" spans="1:24" ht="12.75">
      <c r="A16" t="s">
        <v>58</v>
      </c>
      <c r="C16" s="2">
        <f t="shared" si="10"/>
        <v>0</v>
      </c>
      <c r="D16" s="2">
        <v>24</v>
      </c>
      <c r="E16" s="2">
        <f t="shared" si="1"/>
        <v>0</v>
      </c>
      <c r="F16" s="4">
        <f t="shared" si="11"/>
        <v>0</v>
      </c>
      <c r="G16" s="2">
        <f t="shared" si="3"/>
        <v>0</v>
      </c>
      <c r="H16" s="2">
        <f t="shared" si="4"/>
        <v>0</v>
      </c>
      <c r="I16" s="2">
        <f t="shared" si="5"/>
        <v>0</v>
      </c>
      <c r="J16" s="2">
        <f t="shared" si="6"/>
        <v>0</v>
      </c>
      <c r="K16" s="2">
        <f t="shared" si="7"/>
        <v>0</v>
      </c>
      <c r="L16" s="2">
        <f t="shared" si="8"/>
        <v>0</v>
      </c>
      <c r="M16" s="2">
        <f t="shared" si="9"/>
        <v>0</v>
      </c>
      <c r="O16" s="50">
        <v>50</v>
      </c>
      <c r="P16" s="8" t="s">
        <v>33</v>
      </c>
      <c r="V16" t="s">
        <v>286</v>
      </c>
      <c r="W16">
        <f>O16/100</f>
        <v>0.5</v>
      </c>
      <c r="X16">
        <f>1/W16</f>
        <v>2</v>
      </c>
    </row>
    <row r="17" spans="1:22" ht="12.75">
      <c r="A17" t="s">
        <v>1102</v>
      </c>
      <c r="C17" s="2">
        <f t="shared" si="10"/>
        <v>0</v>
      </c>
      <c r="D17" s="2">
        <v>0.5</v>
      </c>
      <c r="E17" s="2">
        <f t="shared" si="1"/>
        <v>0</v>
      </c>
      <c r="F17" s="4">
        <f t="shared" si="11"/>
        <v>0</v>
      </c>
      <c r="G17" s="2">
        <f t="shared" si="3"/>
        <v>0</v>
      </c>
      <c r="H17" s="2">
        <f t="shared" si="4"/>
        <v>0</v>
      </c>
      <c r="I17" s="2">
        <f t="shared" si="5"/>
        <v>0</v>
      </c>
      <c r="J17" s="2">
        <f t="shared" si="6"/>
        <v>0</v>
      </c>
      <c r="K17" s="2">
        <f t="shared" si="7"/>
        <v>0</v>
      </c>
      <c r="L17" s="2">
        <f t="shared" si="8"/>
        <v>0</v>
      </c>
      <c r="M17" s="2">
        <f t="shared" si="9"/>
        <v>0</v>
      </c>
      <c r="O17" s="13">
        <v>160</v>
      </c>
      <c r="P17" s="12" t="s">
        <v>34</v>
      </c>
      <c r="T17" s="8"/>
      <c r="U17" s="6" t="s">
        <v>45</v>
      </c>
      <c r="V17" s="71">
        <f>O17*12</f>
        <v>1920</v>
      </c>
    </row>
    <row r="18" spans="1:20" ht="12.75">
      <c r="A18" t="s">
        <v>60</v>
      </c>
      <c r="C18" s="2">
        <f t="shared" si="10"/>
        <v>0</v>
      </c>
      <c r="D18" s="2">
        <v>24</v>
      </c>
      <c r="E18" s="2">
        <f t="shared" si="1"/>
        <v>0</v>
      </c>
      <c r="F18" s="4">
        <f t="shared" si="11"/>
        <v>0</v>
      </c>
      <c r="G18" s="2">
        <f t="shared" si="3"/>
        <v>0</v>
      </c>
      <c r="H18" s="2">
        <f t="shared" si="4"/>
        <v>0</v>
      </c>
      <c r="I18" s="2">
        <f t="shared" si="5"/>
        <v>0</v>
      </c>
      <c r="J18" s="2">
        <f t="shared" si="6"/>
        <v>0</v>
      </c>
      <c r="K18" s="2">
        <f t="shared" si="7"/>
        <v>0</v>
      </c>
      <c r="L18" s="2">
        <f t="shared" si="8"/>
        <v>0</v>
      </c>
      <c r="M18" s="2">
        <f t="shared" si="9"/>
        <v>0</v>
      </c>
      <c r="O18" s="13">
        <v>90</v>
      </c>
      <c r="P18" s="12" t="s">
        <v>35</v>
      </c>
      <c r="T18" t="s">
        <v>111</v>
      </c>
    </row>
    <row r="19" spans="1:16" ht="12.75">
      <c r="A19" t="s">
        <v>1103</v>
      </c>
      <c r="C19" s="2">
        <f t="shared" si="10"/>
        <v>0</v>
      </c>
      <c r="D19" s="2">
        <v>0.1</v>
      </c>
      <c r="E19" s="2">
        <f t="shared" si="1"/>
        <v>0</v>
      </c>
      <c r="F19" s="4">
        <f t="shared" si="11"/>
        <v>0</v>
      </c>
      <c r="G19" s="2">
        <f t="shared" si="3"/>
        <v>0</v>
      </c>
      <c r="H19" s="2">
        <f t="shared" si="4"/>
        <v>0</v>
      </c>
      <c r="I19" s="2">
        <f t="shared" si="5"/>
        <v>0</v>
      </c>
      <c r="J19" s="2">
        <f t="shared" si="6"/>
        <v>0</v>
      </c>
      <c r="K19" s="2">
        <f t="shared" si="7"/>
        <v>0</v>
      </c>
      <c r="L19" s="2">
        <f t="shared" si="8"/>
        <v>0</v>
      </c>
      <c r="M19" s="2">
        <f t="shared" si="9"/>
        <v>0</v>
      </c>
      <c r="O19" s="13">
        <v>300</v>
      </c>
      <c r="P19" s="8" t="s">
        <v>36</v>
      </c>
    </row>
    <row r="20" spans="1:16" ht="12.75">
      <c r="A20" t="s">
        <v>693</v>
      </c>
      <c r="C20" s="2">
        <f t="shared" si="10"/>
        <v>0</v>
      </c>
      <c r="D20" s="2">
        <v>24</v>
      </c>
      <c r="E20" s="2">
        <f t="shared" si="1"/>
        <v>0</v>
      </c>
      <c r="F20" s="4">
        <f t="shared" si="11"/>
        <v>0</v>
      </c>
      <c r="G20" s="2">
        <f t="shared" si="3"/>
        <v>0</v>
      </c>
      <c r="H20" s="2">
        <f t="shared" si="4"/>
        <v>0</v>
      </c>
      <c r="I20" s="2">
        <f t="shared" si="5"/>
        <v>0</v>
      </c>
      <c r="J20" s="2">
        <f t="shared" si="6"/>
        <v>0</v>
      </c>
      <c r="K20" s="2">
        <f t="shared" si="7"/>
        <v>0</v>
      </c>
      <c r="L20" s="2">
        <f t="shared" si="8"/>
        <v>0</v>
      </c>
      <c r="M20" s="2">
        <f t="shared" si="9"/>
        <v>0</v>
      </c>
      <c r="O20" s="62">
        <v>0.3</v>
      </c>
      <c r="P20" s="8" t="s">
        <v>37</v>
      </c>
    </row>
    <row r="21" spans="1:16" ht="12.75">
      <c r="A21" t="s">
        <v>833</v>
      </c>
      <c r="C21" s="2">
        <f t="shared" si="10"/>
        <v>0</v>
      </c>
      <c r="D21" s="2">
        <f>NOCTRatings!D22</f>
        <v>2.52</v>
      </c>
      <c r="E21" s="2">
        <f t="shared" si="1"/>
        <v>0</v>
      </c>
      <c r="F21" s="4">
        <f t="shared" si="11"/>
        <v>0</v>
      </c>
      <c r="G21" s="2">
        <f t="shared" si="3"/>
        <v>0</v>
      </c>
      <c r="H21" s="2">
        <f t="shared" si="4"/>
        <v>0</v>
      </c>
      <c r="I21" s="2">
        <f t="shared" si="5"/>
        <v>0</v>
      </c>
      <c r="J21" s="2">
        <f t="shared" si="6"/>
        <v>0</v>
      </c>
      <c r="K21" s="2">
        <f t="shared" si="7"/>
        <v>0</v>
      </c>
      <c r="L21" s="2">
        <f t="shared" si="8"/>
        <v>0</v>
      </c>
      <c r="M21" s="2">
        <f t="shared" si="9"/>
        <v>0</v>
      </c>
      <c r="O21" s="7">
        <f>O17/(100/O16)/J33</f>
        <v>1.0606328442637438</v>
      </c>
      <c r="P21" s="6" t="s">
        <v>247</v>
      </c>
    </row>
    <row r="22" spans="1:22" ht="12.75">
      <c r="A22" s="27" t="s">
        <v>1146</v>
      </c>
      <c r="C22" s="2">
        <f t="shared" si="10"/>
        <v>0</v>
      </c>
      <c r="D22" s="2">
        <v>2</v>
      </c>
      <c r="E22" s="2">
        <f t="shared" si="1"/>
        <v>0</v>
      </c>
      <c r="F22" s="4">
        <f t="shared" si="11"/>
        <v>0</v>
      </c>
      <c r="G22" s="2">
        <f t="shared" si="3"/>
        <v>0</v>
      </c>
      <c r="H22" s="2">
        <f t="shared" si="4"/>
        <v>0</v>
      </c>
      <c r="I22" s="2">
        <f t="shared" si="5"/>
        <v>0</v>
      </c>
      <c r="J22" s="2">
        <f t="shared" si="6"/>
        <v>0</v>
      </c>
      <c r="K22" s="2">
        <f t="shared" si="7"/>
        <v>0</v>
      </c>
      <c r="L22" s="2">
        <f t="shared" si="8"/>
        <v>0</v>
      </c>
      <c r="M22" s="2">
        <f t="shared" si="9"/>
        <v>0</v>
      </c>
      <c r="O22" s="5">
        <f>O21*24</f>
        <v>25.45518826232985</v>
      </c>
      <c r="P22" s="6" t="s">
        <v>248</v>
      </c>
      <c r="U22">
        <f>O22*60</f>
        <v>1527.3112957397911</v>
      </c>
      <c r="V22" t="s">
        <v>684</v>
      </c>
    </row>
    <row r="23" spans="1:16" ht="12.75">
      <c r="A23" t="s">
        <v>162</v>
      </c>
      <c r="C23" s="2">
        <f t="shared" si="10"/>
        <v>0</v>
      </c>
      <c r="D23" s="2">
        <v>24</v>
      </c>
      <c r="E23" s="2">
        <f t="shared" si="1"/>
        <v>0</v>
      </c>
      <c r="F23" s="4">
        <f t="shared" si="11"/>
        <v>0</v>
      </c>
      <c r="G23" s="2">
        <f t="shared" si="3"/>
        <v>0</v>
      </c>
      <c r="H23" s="2">
        <f t="shared" si="4"/>
        <v>0</v>
      </c>
      <c r="I23" s="2">
        <f t="shared" si="5"/>
        <v>0</v>
      </c>
      <c r="J23" s="2">
        <f t="shared" si="6"/>
        <v>0</v>
      </c>
      <c r="K23" s="2">
        <f t="shared" si="7"/>
        <v>0</v>
      </c>
      <c r="L23" s="2">
        <f t="shared" si="8"/>
        <v>0</v>
      </c>
      <c r="M23" s="2">
        <f t="shared" si="9"/>
        <v>0</v>
      </c>
      <c r="O23" s="5">
        <f>J63</f>
        <v>1.334471794871795</v>
      </c>
      <c r="P23" s="6" t="s">
        <v>901</v>
      </c>
    </row>
    <row r="24" spans="1:16" ht="12.75">
      <c r="A24" t="s">
        <v>164</v>
      </c>
      <c r="C24" s="2">
        <f t="shared" si="10"/>
        <v>0</v>
      </c>
      <c r="D24" s="2">
        <v>0.1</v>
      </c>
      <c r="E24" s="2">
        <f t="shared" si="1"/>
        <v>0</v>
      </c>
      <c r="F24" s="4">
        <f t="shared" si="11"/>
        <v>0</v>
      </c>
      <c r="G24" s="2">
        <f t="shared" si="3"/>
        <v>0</v>
      </c>
      <c r="H24" s="2">
        <f t="shared" si="4"/>
        <v>0</v>
      </c>
      <c r="I24" s="2">
        <f t="shared" si="5"/>
        <v>0</v>
      </c>
      <c r="J24" s="2">
        <f t="shared" si="6"/>
        <v>0</v>
      </c>
      <c r="K24" s="2">
        <f t="shared" si="7"/>
        <v>0</v>
      </c>
      <c r="L24" s="2">
        <f t="shared" si="8"/>
        <v>0</v>
      </c>
      <c r="M24" s="2">
        <f t="shared" si="9"/>
        <v>0</v>
      </c>
      <c r="P24" s="6" t="s">
        <v>902</v>
      </c>
    </row>
    <row r="25" spans="1:21" ht="12.75">
      <c r="A25" t="s">
        <v>1037</v>
      </c>
      <c r="C25" s="2">
        <f t="shared" si="10"/>
        <v>0</v>
      </c>
      <c r="D25" s="2">
        <v>24</v>
      </c>
      <c r="E25" s="2">
        <f t="shared" si="1"/>
        <v>0</v>
      </c>
      <c r="F25" s="4">
        <f t="shared" si="11"/>
        <v>0</v>
      </c>
      <c r="G25" s="2">
        <f t="shared" si="3"/>
        <v>0</v>
      </c>
      <c r="H25" s="2">
        <f t="shared" si="4"/>
        <v>0</v>
      </c>
      <c r="I25" s="2">
        <f t="shared" si="5"/>
        <v>0</v>
      </c>
      <c r="J25" s="2">
        <f t="shared" si="6"/>
        <v>0</v>
      </c>
      <c r="K25" s="2">
        <f t="shared" si="7"/>
        <v>0</v>
      </c>
      <c r="L25" s="2">
        <f t="shared" si="8"/>
        <v>0</v>
      </c>
      <c r="M25" s="2">
        <f t="shared" si="9"/>
        <v>0</v>
      </c>
      <c r="P25" s="6" t="s">
        <v>101</v>
      </c>
      <c r="T25" s="8" t="s">
        <v>1096</v>
      </c>
      <c r="U25" s="8"/>
    </row>
    <row r="26" spans="1:22" ht="12.75">
      <c r="A26" s="36" t="s">
        <v>832</v>
      </c>
      <c r="B26" t="s">
        <v>1084</v>
      </c>
      <c r="C26" s="2"/>
      <c r="D26" s="2">
        <v>8</v>
      </c>
      <c r="E26" s="2">
        <f t="shared" si="1"/>
        <v>0</v>
      </c>
      <c r="F26" s="4">
        <f>IF(B26&lt;&gt;"n/a",((B26*D26)/0.9),E26*12.6)</f>
        <v>0</v>
      </c>
      <c r="G26" s="2">
        <f t="shared" si="3"/>
        <v>0</v>
      </c>
      <c r="H26" s="2">
        <f t="shared" si="4"/>
        <v>0</v>
      </c>
      <c r="I26" s="2">
        <f t="shared" si="5"/>
        <v>0</v>
      </c>
      <c r="J26" s="2">
        <f t="shared" si="6"/>
        <v>0</v>
      </c>
      <c r="K26" s="2">
        <f t="shared" si="7"/>
        <v>0</v>
      </c>
      <c r="L26" s="2">
        <f t="shared" si="8"/>
        <v>0</v>
      </c>
      <c r="M26" s="2">
        <f t="shared" si="9"/>
        <v>0</v>
      </c>
      <c r="O26" s="50">
        <v>3</v>
      </c>
      <c r="P26" s="6" t="s">
        <v>99</v>
      </c>
      <c r="R26" s="8" t="s">
        <v>283</v>
      </c>
      <c r="S26" s="8"/>
      <c r="T26" s="70">
        <f>$F$31/$O$26/0.67</f>
        <v>452.9233830845771</v>
      </c>
      <c r="U26" s="8" t="s">
        <v>284</v>
      </c>
      <c r="V26" s="8" t="s">
        <v>926</v>
      </c>
    </row>
    <row r="27" spans="1:21" ht="12.75">
      <c r="A27" s="2" t="s">
        <v>1046</v>
      </c>
      <c r="C27" s="2">
        <f>B27/($O$18/100)/12</f>
        <v>0</v>
      </c>
      <c r="D27" s="2">
        <v>2</v>
      </c>
      <c r="E27" s="2">
        <f t="shared" si="1"/>
        <v>0</v>
      </c>
      <c r="F27" s="4">
        <f>IF(B27&lt;&gt;"n/a",((B27*D27)/0.9),E27*12.6)</f>
        <v>0</v>
      </c>
      <c r="G27" s="2">
        <f t="shared" si="3"/>
        <v>0</v>
      </c>
      <c r="H27" s="2">
        <f t="shared" si="4"/>
        <v>0</v>
      </c>
      <c r="I27" s="2">
        <f t="shared" si="5"/>
        <v>0</v>
      </c>
      <c r="J27" s="2">
        <f t="shared" si="6"/>
        <v>0</v>
      </c>
      <c r="K27" s="2">
        <f t="shared" si="7"/>
        <v>0</v>
      </c>
      <c r="L27" s="2">
        <f t="shared" si="8"/>
        <v>0</v>
      </c>
      <c r="M27" s="2">
        <f t="shared" si="9"/>
        <v>0</v>
      </c>
      <c r="O27" s="50">
        <v>5.23</v>
      </c>
      <c r="P27" s="6" t="s">
        <v>100</v>
      </c>
      <c r="R27" s="8" t="s">
        <v>283</v>
      </c>
      <c r="S27" s="8"/>
      <c r="T27" s="70">
        <f>$F$31/$O$27/0.67</f>
        <v>259.8030878114208</v>
      </c>
      <c r="U27" s="8" t="s">
        <v>284</v>
      </c>
    </row>
    <row r="28" spans="1:15" ht="12.75">
      <c r="A28" t="s">
        <v>1012</v>
      </c>
      <c r="C28" s="2">
        <f>B28/($O$18/100)/12</f>
        <v>0</v>
      </c>
      <c r="D28" s="2">
        <v>8</v>
      </c>
      <c r="E28" s="2">
        <f t="shared" si="1"/>
        <v>0</v>
      </c>
      <c r="F28" s="4">
        <f>(B28*D28)/($O$18/100)</f>
        <v>0</v>
      </c>
      <c r="G28" s="2">
        <f t="shared" si="3"/>
        <v>0</v>
      </c>
      <c r="H28" s="2">
        <f t="shared" si="4"/>
        <v>0</v>
      </c>
      <c r="I28" s="2">
        <f t="shared" si="5"/>
        <v>0</v>
      </c>
      <c r="J28" s="2">
        <f t="shared" si="6"/>
        <v>0</v>
      </c>
      <c r="K28" s="2">
        <f t="shared" si="7"/>
        <v>0</v>
      </c>
      <c r="L28" s="2">
        <f t="shared" si="8"/>
        <v>0</v>
      </c>
      <c r="M28" s="2">
        <f t="shared" si="9"/>
        <v>0</v>
      </c>
      <c r="O28" t="s">
        <v>68</v>
      </c>
    </row>
    <row r="29" spans="1:15" ht="12.75">
      <c r="A29" t="s">
        <v>1137</v>
      </c>
      <c r="B29" t="s">
        <v>1084</v>
      </c>
      <c r="C29" s="2">
        <v>0.065</v>
      </c>
      <c r="D29" s="2">
        <v>24</v>
      </c>
      <c r="E29" s="2">
        <f t="shared" si="1"/>
        <v>1.56</v>
      </c>
      <c r="F29" s="4">
        <f>IF(B29&lt;&gt;"n/a",((B29*D29)/0.9),E29*12.6)</f>
        <v>19.656</v>
      </c>
      <c r="G29" s="2">
        <f t="shared" si="3"/>
        <v>1.04</v>
      </c>
      <c r="H29" s="2">
        <f t="shared" si="4"/>
        <v>1.56</v>
      </c>
      <c r="I29" s="2">
        <f t="shared" si="5"/>
        <v>2.0904000000000003</v>
      </c>
      <c r="J29" s="2">
        <f t="shared" si="6"/>
        <v>3.12</v>
      </c>
      <c r="K29" s="2">
        <f t="shared" si="7"/>
        <v>6.24</v>
      </c>
      <c r="L29" s="2">
        <f t="shared" si="8"/>
        <v>9.36</v>
      </c>
      <c r="M29" s="2">
        <f t="shared" si="9"/>
        <v>21.84</v>
      </c>
      <c r="O29" t="s">
        <v>969</v>
      </c>
    </row>
    <row r="30" spans="1:15" ht="12.75">
      <c r="A30" t="s">
        <v>335</v>
      </c>
      <c r="C30" s="2">
        <f>B30/($O$18/100)/12</f>
        <v>0</v>
      </c>
      <c r="D30" s="2">
        <v>0.2</v>
      </c>
      <c r="E30" s="2">
        <f t="shared" si="1"/>
        <v>0</v>
      </c>
      <c r="F30" s="4">
        <f>(B30*D30)/($O$18/100)</f>
        <v>0</v>
      </c>
      <c r="G30" s="2">
        <f t="shared" si="3"/>
        <v>0</v>
      </c>
      <c r="H30" s="2">
        <f t="shared" si="4"/>
        <v>0</v>
      </c>
      <c r="I30" s="2">
        <f t="shared" si="5"/>
        <v>0</v>
      </c>
      <c r="J30" s="2">
        <f t="shared" si="6"/>
        <v>0</v>
      </c>
      <c r="K30" s="2">
        <f t="shared" si="7"/>
        <v>0</v>
      </c>
      <c r="L30" s="2">
        <f t="shared" si="8"/>
        <v>0</v>
      </c>
      <c r="M30" s="2">
        <f t="shared" si="9"/>
        <v>0</v>
      </c>
      <c r="O30" t="s">
        <v>70</v>
      </c>
    </row>
    <row r="31" spans="1:15" ht="12.75">
      <c r="A31" s="8" t="s">
        <v>611</v>
      </c>
      <c r="B31" s="10">
        <f>SUM(B4:B30)</f>
        <v>30</v>
      </c>
      <c r="C31" s="2">
        <f>SUM(C4:C30)</f>
        <v>3.1427777777777774</v>
      </c>
      <c r="D31" s="2"/>
      <c r="E31" s="2">
        <f>SUM(E4:E30)</f>
        <v>75.42666666666668</v>
      </c>
      <c r="F31" s="4">
        <f>SUM(F4:F30)</f>
        <v>910.376</v>
      </c>
      <c r="G31" s="45">
        <f>G3</f>
        <v>8</v>
      </c>
      <c r="H31" s="2" t="s">
        <v>355</v>
      </c>
      <c r="I31" s="2" t="s">
        <v>356</v>
      </c>
      <c r="J31" s="42" t="s">
        <v>357</v>
      </c>
      <c r="K31" s="2" t="s">
        <v>358</v>
      </c>
      <c r="L31" s="2" t="s">
        <v>359</v>
      </c>
      <c r="M31" s="10">
        <f>M3</f>
        <v>7</v>
      </c>
      <c r="N31" s="2" t="s">
        <v>1026</v>
      </c>
      <c r="O31" t="s">
        <v>95</v>
      </c>
    </row>
    <row r="32" spans="1:16" ht="12.75">
      <c r="A32" t="s">
        <v>614</v>
      </c>
      <c r="C32" t="s">
        <v>458</v>
      </c>
      <c r="D32" t="s">
        <v>278</v>
      </c>
      <c r="G32" s="2">
        <f aca="true" t="shared" si="12" ref="G32:M32">SUM(G4:G30)</f>
        <v>50.28444444444444</v>
      </c>
      <c r="H32" s="2">
        <f t="shared" si="12"/>
        <v>75.42666666666668</v>
      </c>
      <c r="I32" s="2">
        <f t="shared" si="12"/>
        <v>101.07173333333334</v>
      </c>
      <c r="J32" s="2">
        <f t="shared" si="12"/>
        <v>150.85333333333335</v>
      </c>
      <c r="K32" s="2">
        <f t="shared" si="12"/>
        <v>301.7066666666667</v>
      </c>
      <c r="L32" s="2">
        <f t="shared" si="12"/>
        <v>452.56</v>
      </c>
      <c r="M32" s="2">
        <f t="shared" si="12"/>
        <v>1055.9733333333334</v>
      </c>
      <c r="N32" t="s">
        <v>253</v>
      </c>
      <c r="P32" t="s">
        <v>98</v>
      </c>
    </row>
    <row r="33" spans="1:16" ht="12.75">
      <c r="A33" t="s">
        <v>10</v>
      </c>
      <c r="C33" t="s">
        <v>712</v>
      </c>
      <c r="D33" t="s">
        <v>1074</v>
      </c>
      <c r="E33">
        <f>O17/X16</f>
        <v>80</v>
      </c>
      <c r="F33" t="s">
        <v>1122</v>
      </c>
      <c r="G33" s="2">
        <f aca="true" t="shared" si="13" ref="G33:M33">G32/(100/$O$16)</f>
        <v>25.14222222222222</v>
      </c>
      <c r="H33" s="2">
        <f t="shared" si="13"/>
        <v>37.71333333333334</v>
      </c>
      <c r="I33" s="2">
        <f t="shared" si="13"/>
        <v>50.53586666666667</v>
      </c>
      <c r="J33" s="2">
        <f t="shared" si="13"/>
        <v>75.42666666666668</v>
      </c>
      <c r="K33" s="2">
        <f t="shared" si="13"/>
        <v>150.85333333333335</v>
      </c>
      <c r="L33" s="2">
        <f t="shared" si="13"/>
        <v>226.28</v>
      </c>
      <c r="M33" s="2">
        <f t="shared" si="13"/>
        <v>527.9866666666667</v>
      </c>
      <c r="P33" t="s">
        <v>895</v>
      </c>
    </row>
    <row r="34" spans="1:16" ht="12.75">
      <c r="A34" t="s">
        <v>11</v>
      </c>
      <c r="C34" t="s">
        <v>713</v>
      </c>
      <c r="D34" t="s">
        <v>810</v>
      </c>
      <c r="G34" s="2">
        <f aca="true" t="shared" si="14" ref="G34:M34">G33/$O$17*100</f>
        <v>15.713888888888889</v>
      </c>
      <c r="H34" s="2">
        <f t="shared" si="14"/>
        <v>23.570833333333336</v>
      </c>
      <c r="I34" s="2">
        <f t="shared" si="14"/>
        <v>31.58491666666667</v>
      </c>
      <c r="J34" s="2">
        <f t="shared" si="14"/>
        <v>47.14166666666667</v>
      </c>
      <c r="K34" s="2">
        <f t="shared" si="14"/>
        <v>94.28333333333335</v>
      </c>
      <c r="L34" s="2">
        <f t="shared" si="14"/>
        <v>141.425</v>
      </c>
      <c r="M34" s="2">
        <f t="shared" si="14"/>
        <v>329.9916666666667</v>
      </c>
      <c r="N34" s="47" t="s">
        <v>1034</v>
      </c>
      <c r="P34" t="s">
        <v>896</v>
      </c>
    </row>
    <row r="35" spans="1:16" ht="12.75">
      <c r="A35" t="s">
        <v>12</v>
      </c>
      <c r="C35" t="s">
        <v>714</v>
      </c>
      <c r="D35" t="s">
        <v>811</v>
      </c>
      <c r="E35" s="22"/>
      <c r="F35" s="4"/>
      <c r="G35" s="2">
        <f aca="true" t="shared" si="15" ref="G35:M35">G33*1.15</f>
        <v>28.91355555555555</v>
      </c>
      <c r="H35" s="2">
        <f t="shared" si="15"/>
        <v>43.370333333333335</v>
      </c>
      <c r="I35" s="2">
        <f t="shared" si="15"/>
        <v>58.11624666666667</v>
      </c>
      <c r="J35" s="2">
        <f t="shared" si="15"/>
        <v>86.74066666666667</v>
      </c>
      <c r="K35" s="2">
        <f t="shared" si="15"/>
        <v>173.48133333333334</v>
      </c>
      <c r="L35" s="2">
        <f t="shared" si="15"/>
        <v>260.222</v>
      </c>
      <c r="M35" s="2">
        <f t="shared" si="15"/>
        <v>607.1846666666667</v>
      </c>
      <c r="N35" t="s">
        <v>812</v>
      </c>
      <c r="P35" t="s">
        <v>897</v>
      </c>
    </row>
    <row r="36" spans="6:16" ht="12.75">
      <c r="F36" s="4"/>
      <c r="G36" s="2"/>
      <c r="H36" s="2"/>
      <c r="I36" s="2"/>
      <c r="J36" s="2"/>
      <c r="K36" s="2"/>
      <c r="L36" s="2"/>
      <c r="M36" s="2"/>
      <c r="P36" t="s">
        <v>718</v>
      </c>
    </row>
    <row r="37" spans="3:19" ht="12.75">
      <c r="C37" t="s">
        <v>414</v>
      </c>
      <c r="E37" s="53" t="s">
        <v>656</v>
      </c>
      <c r="F37" s="54" t="s">
        <v>651</v>
      </c>
      <c r="G37" s="2" t="s">
        <v>116</v>
      </c>
      <c r="H37" s="2"/>
      <c r="I37" s="25"/>
      <c r="J37" s="52"/>
      <c r="K37" s="2"/>
      <c r="L37" s="2"/>
      <c r="M37" s="2"/>
      <c r="O37" s="8" t="s">
        <v>564</v>
      </c>
      <c r="P37" s="8" t="s">
        <v>651</v>
      </c>
      <c r="Q37" s="56" t="s">
        <v>809</v>
      </c>
      <c r="R37" s="56" t="s">
        <v>887</v>
      </c>
      <c r="S37" t="s">
        <v>618</v>
      </c>
    </row>
    <row r="38" spans="3:19" ht="12.75">
      <c r="C38" t="s">
        <v>373</v>
      </c>
      <c r="E38">
        <v>400</v>
      </c>
      <c r="G38" s="2">
        <f>G35/O38</f>
        <v>1.0441006172839504</v>
      </c>
      <c r="H38" s="2">
        <f>H35/O38</f>
        <v>1.5661509259259259</v>
      </c>
      <c r="I38" s="2">
        <f>I35/O38</f>
        <v>2.0986422407407406</v>
      </c>
      <c r="J38" s="2">
        <f>J35/O38</f>
        <v>3.1323018518518517</v>
      </c>
      <c r="K38" s="2">
        <f aca="true" t="shared" si="16" ref="K38:K61">J38*2</f>
        <v>6.2646037037037035</v>
      </c>
      <c r="L38" s="2">
        <f aca="true" t="shared" si="17" ref="L38:L61">J38*3</f>
        <v>9.396905555555556</v>
      </c>
      <c r="M38" s="2">
        <f aca="true" t="shared" si="18" ref="M38:M61">J38*4</f>
        <v>12.529207407407407</v>
      </c>
      <c r="N38" t="s">
        <v>1142</v>
      </c>
      <c r="O38" s="2">
        <f>E38/13*0.9</f>
        <v>27.692307692307693</v>
      </c>
      <c r="Q38" s="10">
        <f>O38*O26</f>
        <v>83.07692307692308</v>
      </c>
      <c r="R38" s="4">
        <f aca="true" t="shared" si="19" ref="R38:R61">Q38*12</f>
        <v>996.9230769230769</v>
      </c>
      <c r="S38" t="s">
        <v>1029</v>
      </c>
    </row>
    <row r="39" spans="1:21" ht="12.75">
      <c r="A39" t="s">
        <v>652</v>
      </c>
      <c r="F39" s="4">
        <f>E38*0.726</f>
        <v>290.4</v>
      </c>
      <c r="G39" s="2">
        <f>G$35/$P39</f>
        <v>1.438155120225827</v>
      </c>
      <c r="H39" s="2">
        <f>H$35/$P39</f>
        <v>2.157232680338741</v>
      </c>
      <c r="I39" s="2">
        <f>I$35/$P39</f>
        <v>2.890691791653913</v>
      </c>
      <c r="J39" s="2">
        <f>J$35/$P39</f>
        <v>4.314465360677482</v>
      </c>
      <c r="K39" s="2">
        <f t="shared" si="16"/>
        <v>8.628930721354964</v>
      </c>
      <c r="L39" s="2">
        <f t="shared" si="17"/>
        <v>12.943396082032447</v>
      </c>
      <c r="M39" s="2">
        <f t="shared" si="18"/>
        <v>17.257861442709928</v>
      </c>
      <c r="P39" s="2">
        <f>F39/13*0.9</f>
        <v>20.104615384615386</v>
      </c>
      <c r="Q39" s="10">
        <f>P39*O26</f>
        <v>60.31384615384616</v>
      </c>
      <c r="R39" s="4">
        <f t="shared" si="19"/>
        <v>723.7661538461539</v>
      </c>
      <c r="U39" t="s">
        <v>1032</v>
      </c>
    </row>
    <row r="40" spans="1:19" ht="12.75">
      <c r="A40" t="s">
        <v>987</v>
      </c>
      <c r="C40" t="s">
        <v>399</v>
      </c>
      <c r="E40">
        <v>400</v>
      </c>
      <c r="G40" s="2">
        <f>G$35/O40</f>
        <v>1.0441006172839504</v>
      </c>
      <c r="H40" s="2">
        <f>H35/O40</f>
        <v>1.5661509259259259</v>
      </c>
      <c r="I40" s="2">
        <f>I35/O40</f>
        <v>2.0986422407407406</v>
      </c>
      <c r="J40" s="2">
        <f>J35/O40</f>
        <v>3.1323018518518517</v>
      </c>
      <c r="K40" s="2">
        <f t="shared" si="16"/>
        <v>6.2646037037037035</v>
      </c>
      <c r="L40" s="2">
        <f t="shared" si="17"/>
        <v>9.396905555555556</v>
      </c>
      <c r="M40" s="2">
        <f t="shared" si="18"/>
        <v>12.529207407407407</v>
      </c>
      <c r="N40" t="s">
        <v>1142</v>
      </c>
      <c r="O40" s="2">
        <f>E40/13*0.9</f>
        <v>27.692307692307693</v>
      </c>
      <c r="Q40" s="10">
        <f>O40*O27</f>
        <v>144.83076923076925</v>
      </c>
      <c r="R40" s="4">
        <f t="shared" si="19"/>
        <v>1737.969230769231</v>
      </c>
      <c r="S40" t="s">
        <v>1031</v>
      </c>
    </row>
    <row r="41" spans="1:21" ht="12.75">
      <c r="A41" t="s">
        <v>654</v>
      </c>
      <c r="F41" s="4">
        <f>E40*0.726</f>
        <v>290.4</v>
      </c>
      <c r="G41" s="2">
        <f>G$35/$P41</f>
        <v>1.438155120225827</v>
      </c>
      <c r="H41" s="2">
        <f>H$35/$P41</f>
        <v>2.157232680338741</v>
      </c>
      <c r="I41" s="2">
        <f>I$35/$P41</f>
        <v>2.890691791653913</v>
      </c>
      <c r="J41" s="2">
        <f>J$35/$P41</f>
        <v>4.314465360677482</v>
      </c>
      <c r="K41" s="2">
        <f t="shared" si="16"/>
        <v>8.628930721354964</v>
      </c>
      <c r="L41" s="2">
        <f t="shared" si="17"/>
        <v>12.943396082032447</v>
      </c>
      <c r="M41" s="2">
        <f t="shared" si="18"/>
        <v>17.257861442709928</v>
      </c>
      <c r="P41" s="2">
        <f>F41/13*0.9</f>
        <v>20.104615384615386</v>
      </c>
      <c r="Q41" s="10">
        <f>P41*O27</f>
        <v>105.14713846153847</v>
      </c>
      <c r="R41" s="4">
        <f t="shared" si="19"/>
        <v>1261.7656615384617</v>
      </c>
      <c r="U41" t="s">
        <v>1033</v>
      </c>
    </row>
    <row r="42" spans="1:18" ht="12.75">
      <c r="A42" t="s">
        <v>988</v>
      </c>
      <c r="C42" t="s">
        <v>373</v>
      </c>
      <c r="E42">
        <v>500</v>
      </c>
      <c r="G42" s="2">
        <f>G35/O42</f>
        <v>0.8352804938271604</v>
      </c>
      <c r="H42" s="2">
        <f>H35/O42</f>
        <v>1.2529207407407408</v>
      </c>
      <c r="I42" s="2">
        <f>I35/O42</f>
        <v>1.6789137925925928</v>
      </c>
      <c r="J42" s="2">
        <f>J35/O42</f>
        <v>2.5058414814814816</v>
      </c>
      <c r="K42" s="2">
        <f t="shared" si="16"/>
        <v>5.011682962962963</v>
      </c>
      <c r="L42" s="2">
        <f t="shared" si="17"/>
        <v>7.517524444444445</v>
      </c>
      <c r="M42" s="2">
        <f t="shared" si="18"/>
        <v>10.023365925925926</v>
      </c>
      <c r="N42" t="s">
        <v>1142</v>
      </c>
      <c r="O42" s="2">
        <f>E42/13*0.9</f>
        <v>34.61538461538461</v>
      </c>
      <c r="Q42" s="10">
        <f>O42*O26</f>
        <v>103.84615384615384</v>
      </c>
      <c r="R42" s="4">
        <f t="shared" si="19"/>
        <v>1246.1538461538462</v>
      </c>
    </row>
    <row r="43" spans="6:18" ht="12.75">
      <c r="F43" s="4">
        <f>E42*0.726</f>
        <v>363</v>
      </c>
      <c r="G43" s="2">
        <f>G$35/$P43</f>
        <v>1.1505240961806615</v>
      </c>
      <c r="H43" s="2">
        <f>H$35/$P43</f>
        <v>1.7257861442709928</v>
      </c>
      <c r="I43" s="2">
        <f>I$35/$P43</f>
        <v>2.31255343332313</v>
      </c>
      <c r="J43" s="2">
        <f>J$35/$P43</f>
        <v>3.4515722885419855</v>
      </c>
      <c r="K43" s="2">
        <f t="shared" si="16"/>
        <v>6.903144577083971</v>
      </c>
      <c r="L43" s="2">
        <f t="shared" si="17"/>
        <v>10.354716865625957</v>
      </c>
      <c r="M43" s="2">
        <f t="shared" si="18"/>
        <v>13.806289154167942</v>
      </c>
      <c r="P43" s="2">
        <f>F43/13*0.9</f>
        <v>25.130769230769232</v>
      </c>
      <c r="Q43" s="10">
        <f>P43*O26</f>
        <v>75.3923076923077</v>
      </c>
      <c r="R43" s="4">
        <f t="shared" si="19"/>
        <v>904.7076923076924</v>
      </c>
    </row>
    <row r="44" spans="1:18" ht="12.75">
      <c r="A44" t="s">
        <v>551</v>
      </c>
      <c r="C44" t="s">
        <v>399</v>
      </c>
      <c r="E44">
        <v>500</v>
      </c>
      <c r="G44" s="2">
        <f>G35/O44</f>
        <v>0.8352804938271604</v>
      </c>
      <c r="H44" s="2">
        <f>H35/O44</f>
        <v>1.2529207407407408</v>
      </c>
      <c r="I44" s="2">
        <f>I35/O44</f>
        <v>1.6789137925925928</v>
      </c>
      <c r="J44" s="2">
        <f>J35/O44</f>
        <v>2.5058414814814816</v>
      </c>
      <c r="K44" s="2">
        <f t="shared" si="16"/>
        <v>5.011682962962963</v>
      </c>
      <c r="L44" s="2">
        <f t="shared" si="17"/>
        <v>7.517524444444445</v>
      </c>
      <c r="M44" s="2">
        <f t="shared" si="18"/>
        <v>10.023365925925926</v>
      </c>
      <c r="N44" t="s">
        <v>1142</v>
      </c>
      <c r="O44" s="2">
        <f>E44/13*0.9</f>
        <v>34.61538461538461</v>
      </c>
      <c r="Q44" s="10">
        <f>O44*O27</f>
        <v>181.03846153846155</v>
      </c>
      <c r="R44" s="4">
        <f t="shared" si="19"/>
        <v>2172.4615384615386</v>
      </c>
    </row>
    <row r="45" spans="2:18" ht="12.75">
      <c r="B45" s="37"/>
      <c r="F45" s="4">
        <f>E44*0.726</f>
        <v>363</v>
      </c>
      <c r="G45" s="2">
        <f>G$35/$P45</f>
        <v>1.1505240961806615</v>
      </c>
      <c r="H45" s="2">
        <f>H$35/$P45</f>
        <v>1.7257861442709928</v>
      </c>
      <c r="I45" s="2">
        <f>I$35/$P45</f>
        <v>2.31255343332313</v>
      </c>
      <c r="J45" s="2">
        <f>J$35/$P45</f>
        <v>3.4515722885419855</v>
      </c>
      <c r="K45" s="2">
        <f t="shared" si="16"/>
        <v>6.903144577083971</v>
      </c>
      <c r="L45" s="2">
        <f t="shared" si="17"/>
        <v>10.354716865625957</v>
      </c>
      <c r="M45" s="2">
        <f t="shared" si="18"/>
        <v>13.806289154167942</v>
      </c>
      <c r="P45" s="2">
        <f>F45/13*0.9</f>
        <v>25.130769230769232</v>
      </c>
      <c r="Q45" s="10">
        <f>P45*O27</f>
        <v>131.4339230769231</v>
      </c>
      <c r="R45" s="4">
        <f t="shared" si="19"/>
        <v>1577.2070769230772</v>
      </c>
    </row>
    <row r="46" spans="1:20" ht="12.75">
      <c r="A46" t="s">
        <v>179</v>
      </c>
      <c r="B46" s="38"/>
      <c r="C46" t="s">
        <v>373</v>
      </c>
      <c r="E46">
        <v>610</v>
      </c>
      <c r="G46" s="2">
        <f>G35/O46</f>
        <v>0.684656142481279</v>
      </c>
      <c r="H46" s="2">
        <f>H35/O46</f>
        <v>1.0269842137219187</v>
      </c>
      <c r="I46" s="2">
        <f>I35/O46</f>
        <v>1.376158846387371</v>
      </c>
      <c r="J46" s="2">
        <f>J35/O46</f>
        <v>2.0539684274438375</v>
      </c>
      <c r="K46" s="2">
        <f t="shared" si="16"/>
        <v>4.107936854887675</v>
      </c>
      <c r="L46" s="2">
        <f t="shared" si="17"/>
        <v>6.161905282331512</v>
      </c>
      <c r="M46" s="2">
        <f t="shared" si="18"/>
        <v>8.21587370977535</v>
      </c>
      <c r="N46" t="s">
        <v>1142</v>
      </c>
      <c r="O46" s="2">
        <f>E46/13*0.9</f>
        <v>42.230769230769226</v>
      </c>
      <c r="Q46" s="10">
        <f>O46*O26</f>
        <v>126.69230769230768</v>
      </c>
      <c r="R46" s="4">
        <f t="shared" si="19"/>
        <v>1520.3076923076922</v>
      </c>
      <c r="S46" t="s">
        <v>954</v>
      </c>
      <c r="T46" t="s">
        <v>955</v>
      </c>
    </row>
    <row r="47" spans="1:20" ht="12.75">
      <c r="A47" t="s">
        <v>180</v>
      </c>
      <c r="B47" s="38"/>
      <c r="F47" s="4">
        <f>E46*0.726</f>
        <v>442.86</v>
      </c>
      <c r="G47" s="2">
        <f>G$35/$P47</f>
        <v>0.9430525378530014</v>
      </c>
      <c r="H47" s="2">
        <f>H$35/$P47</f>
        <v>1.4145788067795024</v>
      </c>
      <c r="I47" s="2">
        <f>I$35/$P47</f>
        <v>1.8955356010845332</v>
      </c>
      <c r="J47" s="2">
        <f>J$35/$P47</f>
        <v>2.829157613559005</v>
      </c>
      <c r="K47" s="2">
        <f t="shared" si="16"/>
        <v>5.65831522711801</v>
      </c>
      <c r="L47" s="2">
        <f t="shared" si="17"/>
        <v>8.487472840677015</v>
      </c>
      <c r="M47" s="2">
        <f t="shared" si="18"/>
        <v>11.31663045423602</v>
      </c>
      <c r="O47" s="2"/>
      <c r="P47" s="2">
        <f>F47/13*0.9</f>
        <v>30.65953846153846</v>
      </c>
      <c r="Q47" s="10">
        <f>P47*O26</f>
        <v>91.97861538461538</v>
      </c>
      <c r="R47" s="4">
        <f t="shared" si="19"/>
        <v>1103.7433846153845</v>
      </c>
      <c r="S47">
        <f>G35/8</f>
        <v>3.614194444444444</v>
      </c>
      <c r="T47">
        <f>G47/8</f>
        <v>0.11788156723162517</v>
      </c>
    </row>
    <row r="48" spans="1:18" ht="12.75">
      <c r="A48" t="s">
        <v>299</v>
      </c>
      <c r="B48" s="37"/>
      <c r="C48" t="s">
        <v>399</v>
      </c>
      <c r="E48">
        <v>610</v>
      </c>
      <c r="G48" s="2">
        <f>G35/O48</f>
        <v>0.684656142481279</v>
      </c>
      <c r="H48" s="2">
        <f>H35/O48</f>
        <v>1.0269842137219187</v>
      </c>
      <c r="I48" s="2">
        <f>I35/O48</f>
        <v>1.376158846387371</v>
      </c>
      <c r="J48" s="2">
        <f>J35/O48</f>
        <v>2.0539684274438375</v>
      </c>
      <c r="K48" s="2">
        <f t="shared" si="16"/>
        <v>4.107936854887675</v>
      </c>
      <c r="L48" s="2">
        <f t="shared" si="17"/>
        <v>6.161905282331512</v>
      </c>
      <c r="M48" s="2">
        <f t="shared" si="18"/>
        <v>8.21587370977535</v>
      </c>
      <c r="N48" t="s">
        <v>1142</v>
      </c>
      <c r="O48" s="2">
        <f>E48/13*0.9</f>
        <v>42.230769230769226</v>
      </c>
      <c r="Q48" s="10">
        <f>O48*O27</f>
        <v>220.86692307692306</v>
      </c>
      <c r="R48" s="4">
        <f t="shared" si="19"/>
        <v>2650.4030769230767</v>
      </c>
    </row>
    <row r="49" spans="1:20" ht="12.75">
      <c r="A49" t="s">
        <v>178</v>
      </c>
      <c r="F49" s="4">
        <f>E48*0.726</f>
        <v>442.86</v>
      </c>
      <c r="G49" s="2">
        <f>G$35/$P49</f>
        <v>0.9430525378530014</v>
      </c>
      <c r="H49" s="2">
        <f>H$35/$P49</f>
        <v>1.4145788067795024</v>
      </c>
      <c r="I49" s="2">
        <f>I$35/$P49</f>
        <v>1.8955356010845332</v>
      </c>
      <c r="J49" s="2">
        <f>J$35/$P49</f>
        <v>2.829157613559005</v>
      </c>
      <c r="K49" s="2">
        <f t="shared" si="16"/>
        <v>5.65831522711801</v>
      </c>
      <c r="L49" s="2">
        <f t="shared" si="17"/>
        <v>8.487472840677015</v>
      </c>
      <c r="M49" s="2">
        <f t="shared" si="18"/>
        <v>11.31663045423602</v>
      </c>
      <c r="O49" s="2"/>
      <c r="P49" s="2">
        <f>F49/13*0.9</f>
        <v>30.65953846153846</v>
      </c>
      <c r="Q49" s="10">
        <f>P49*O27</f>
        <v>160.34938615384615</v>
      </c>
      <c r="R49" s="4">
        <f t="shared" si="19"/>
        <v>1924.192633846154</v>
      </c>
      <c r="T49" t="s">
        <v>194</v>
      </c>
    </row>
    <row r="50" spans="1:20" ht="12.75">
      <c r="A50" t="s">
        <v>181</v>
      </c>
      <c r="B50" s="19"/>
      <c r="C50" t="s">
        <v>373</v>
      </c>
      <c r="E50">
        <v>1110</v>
      </c>
      <c r="G50" s="2">
        <f>G35/O50</f>
        <v>0.376252474696919</v>
      </c>
      <c r="H50" s="2">
        <f>H35/O50</f>
        <v>0.5643787120453787</v>
      </c>
      <c r="I50" s="2">
        <f>I35/O50</f>
        <v>0.7562674741408074</v>
      </c>
      <c r="J50" s="2">
        <f>J35/O50</f>
        <v>1.1287574240907574</v>
      </c>
      <c r="K50" s="2">
        <f t="shared" si="16"/>
        <v>2.257514848181515</v>
      </c>
      <c r="L50" s="2">
        <f t="shared" si="17"/>
        <v>3.3862722722722722</v>
      </c>
      <c r="M50" s="2">
        <f t="shared" si="18"/>
        <v>4.51502969636303</v>
      </c>
      <c r="N50" t="s">
        <v>1142</v>
      </c>
      <c r="O50" s="2">
        <f>E50/13*0.9</f>
        <v>76.84615384615385</v>
      </c>
      <c r="Q50" s="10">
        <f>O50*O26</f>
        <v>230.53846153846155</v>
      </c>
      <c r="R50" s="4">
        <f t="shared" si="19"/>
        <v>2766.4615384615386</v>
      </c>
      <c r="T50" t="s">
        <v>604</v>
      </c>
    </row>
    <row r="51" spans="1:20" ht="12.75">
      <c r="A51" t="s">
        <v>334</v>
      </c>
      <c r="B51" s="19"/>
      <c r="C51" s="3"/>
      <c r="F51" s="4">
        <f>E50*0.726</f>
        <v>805.86</v>
      </c>
      <c r="G51" s="2">
        <f>G$35/$P51</f>
        <v>0.5182540973786763</v>
      </c>
      <c r="H51" s="2">
        <f>H$35/$P51</f>
        <v>0.7773811460680147</v>
      </c>
      <c r="I51" s="2">
        <f>I$35/$P51</f>
        <v>1.0416907357311396</v>
      </c>
      <c r="J51" s="2">
        <f>J$35/$P51</f>
        <v>1.5547622921360293</v>
      </c>
      <c r="K51" s="2">
        <f t="shared" si="16"/>
        <v>3.1095245842720587</v>
      </c>
      <c r="L51" s="2">
        <f t="shared" si="17"/>
        <v>4.664286876408088</v>
      </c>
      <c r="M51" s="2">
        <f t="shared" si="18"/>
        <v>6.219049168544117</v>
      </c>
      <c r="P51" s="2">
        <f>F51/13*0.9</f>
        <v>55.7903076923077</v>
      </c>
      <c r="Q51" s="10">
        <f>P51*O26</f>
        <v>167.3709230769231</v>
      </c>
      <c r="R51" s="4">
        <f t="shared" si="19"/>
        <v>2008.4510769230774</v>
      </c>
      <c r="T51" t="s">
        <v>196</v>
      </c>
    </row>
    <row r="52" spans="1:20" ht="12.75">
      <c r="A52" t="s">
        <v>371</v>
      </c>
      <c r="B52" s="19"/>
      <c r="C52" t="s">
        <v>399</v>
      </c>
      <c r="E52">
        <v>1110</v>
      </c>
      <c r="F52" s="10"/>
      <c r="G52" s="2">
        <f>G35/O52</f>
        <v>0.376252474696919</v>
      </c>
      <c r="H52" s="2">
        <f>H35/O52</f>
        <v>0.5643787120453787</v>
      </c>
      <c r="I52" s="2">
        <f>I35/O52</f>
        <v>0.7562674741408074</v>
      </c>
      <c r="J52" s="2">
        <f>J35/O52</f>
        <v>1.1287574240907574</v>
      </c>
      <c r="K52" s="2">
        <f t="shared" si="16"/>
        <v>2.257514848181515</v>
      </c>
      <c r="L52" s="2">
        <f t="shared" si="17"/>
        <v>3.3862722722722722</v>
      </c>
      <c r="M52" s="2">
        <f t="shared" si="18"/>
        <v>4.51502969636303</v>
      </c>
      <c r="N52" t="s">
        <v>1142</v>
      </c>
      <c r="O52" s="2">
        <f>E52/13*0.9</f>
        <v>76.84615384615385</v>
      </c>
      <c r="Q52" s="10">
        <f>O52*O27</f>
        <v>401.90538461538466</v>
      </c>
      <c r="R52" s="4">
        <f t="shared" si="19"/>
        <v>4822.864615384616</v>
      </c>
      <c r="T52" t="s">
        <v>602</v>
      </c>
    </row>
    <row r="53" spans="2:20" ht="12.75">
      <c r="B53" s="19"/>
      <c r="F53" s="4">
        <f>E52*0.726</f>
        <v>805.86</v>
      </c>
      <c r="G53" s="2">
        <f>G$35/$P53</f>
        <v>0.5182540973786763</v>
      </c>
      <c r="H53" s="2">
        <f>H$35/$P53</f>
        <v>0.7773811460680147</v>
      </c>
      <c r="I53" s="2">
        <f>I$35/$P53</f>
        <v>1.0416907357311396</v>
      </c>
      <c r="J53" s="2">
        <f>J$35/$P53</f>
        <v>1.5547622921360293</v>
      </c>
      <c r="K53" s="2">
        <f t="shared" si="16"/>
        <v>3.1095245842720587</v>
      </c>
      <c r="L53" s="2">
        <f t="shared" si="17"/>
        <v>4.664286876408088</v>
      </c>
      <c r="M53" s="2">
        <f t="shared" si="18"/>
        <v>6.219049168544117</v>
      </c>
      <c r="P53" s="2">
        <f>F53/13*0.9</f>
        <v>55.7903076923077</v>
      </c>
      <c r="Q53" s="10">
        <f>P53*O27</f>
        <v>291.7833092307693</v>
      </c>
      <c r="R53" s="4">
        <f t="shared" si="19"/>
        <v>3501.3997107692317</v>
      </c>
      <c r="T53" t="s">
        <v>190</v>
      </c>
    </row>
    <row r="54" spans="1:20" ht="12.75">
      <c r="A54" s="24" t="s">
        <v>552</v>
      </c>
      <c r="C54" t="s">
        <v>373</v>
      </c>
      <c r="E54">
        <v>1510</v>
      </c>
      <c r="G54" s="2">
        <f>G35/O54</f>
        <v>0.2765829449758809</v>
      </c>
      <c r="H54" s="2">
        <f>H35/O54</f>
        <v>0.4148744174638214</v>
      </c>
      <c r="I54" s="2">
        <f>I35/O54</f>
        <v>0.5559317194015208</v>
      </c>
      <c r="J54" s="2">
        <f>J35/O54</f>
        <v>0.8297488349276428</v>
      </c>
      <c r="K54" s="2">
        <f t="shared" si="16"/>
        <v>1.6594976698552857</v>
      </c>
      <c r="L54" s="2">
        <f t="shared" si="17"/>
        <v>2.4892465047829284</v>
      </c>
      <c r="M54" s="2">
        <f t="shared" si="18"/>
        <v>3.3189953397105714</v>
      </c>
      <c r="N54" t="s">
        <v>1142</v>
      </c>
      <c r="O54" s="2">
        <f>E54/13*0.9</f>
        <v>104.53846153846155</v>
      </c>
      <c r="Q54" s="10">
        <f>O54*O26</f>
        <v>313.61538461538464</v>
      </c>
      <c r="R54" s="4">
        <f t="shared" si="19"/>
        <v>3763.3846153846157</v>
      </c>
      <c r="T54" t="s">
        <v>191</v>
      </c>
    </row>
    <row r="55" spans="1:20" ht="12.75">
      <c r="A55" t="s">
        <v>553</v>
      </c>
      <c r="C55" s="3"/>
      <c r="F55" s="4">
        <f>E54*0.726</f>
        <v>1096.26</v>
      </c>
      <c r="G55" s="2">
        <f>G$35/$P55</f>
        <v>0.380968243768431</v>
      </c>
      <c r="H55" s="2">
        <f>H$35/$P55</f>
        <v>0.5714523656526466</v>
      </c>
      <c r="I55" s="2">
        <f>I$35/$P55</f>
        <v>0.7657461699745465</v>
      </c>
      <c r="J55" s="2">
        <f>J$35/$P55</f>
        <v>1.1429047313052931</v>
      </c>
      <c r="K55" s="2">
        <f t="shared" si="16"/>
        <v>2.2858094626105863</v>
      </c>
      <c r="L55" s="2">
        <f t="shared" si="17"/>
        <v>3.428714193915879</v>
      </c>
      <c r="M55" s="2">
        <f t="shared" si="18"/>
        <v>4.5716189252211725</v>
      </c>
      <c r="P55" s="2">
        <f>F55/13*0.9</f>
        <v>75.89492307692308</v>
      </c>
      <c r="Q55" s="10">
        <f>P55*O26</f>
        <v>227.68476923076923</v>
      </c>
      <c r="R55" s="4">
        <f t="shared" si="19"/>
        <v>2732.217230769231</v>
      </c>
      <c r="T55" t="s">
        <v>192</v>
      </c>
    </row>
    <row r="56" spans="1:20" ht="12.75">
      <c r="A56" t="s">
        <v>554</v>
      </c>
      <c r="C56" t="s">
        <v>399</v>
      </c>
      <c r="E56">
        <v>1510</v>
      </c>
      <c r="G56" s="2">
        <f>G35/O56</f>
        <v>0.2765829449758809</v>
      </c>
      <c r="H56" s="2">
        <f>H35/O56</f>
        <v>0.4148744174638214</v>
      </c>
      <c r="I56" s="2">
        <f>I35/O56</f>
        <v>0.5559317194015208</v>
      </c>
      <c r="J56" s="2">
        <f>J35/O56</f>
        <v>0.8297488349276428</v>
      </c>
      <c r="K56" s="2">
        <f t="shared" si="16"/>
        <v>1.6594976698552857</v>
      </c>
      <c r="L56" s="2">
        <f t="shared" si="17"/>
        <v>2.4892465047829284</v>
      </c>
      <c r="M56" s="2">
        <f t="shared" si="18"/>
        <v>3.3189953397105714</v>
      </c>
      <c r="N56" t="s">
        <v>1142</v>
      </c>
      <c r="O56" s="2">
        <f>E56/13*0.9</f>
        <v>104.53846153846155</v>
      </c>
      <c r="Q56" s="10">
        <f>O56*O27</f>
        <v>546.7361538461539</v>
      </c>
      <c r="R56" s="4">
        <f t="shared" si="19"/>
        <v>6560.833846153847</v>
      </c>
      <c r="T56" t="s">
        <v>603</v>
      </c>
    </row>
    <row r="57" spans="1:20" ht="12.75">
      <c r="A57" t="s">
        <v>555</v>
      </c>
      <c r="F57" s="4">
        <f>E56*0.726</f>
        <v>1096.26</v>
      </c>
      <c r="G57" s="2">
        <f>G$35/$P57</f>
        <v>0.380968243768431</v>
      </c>
      <c r="H57" s="2">
        <f>H$35/$P57</f>
        <v>0.5714523656526466</v>
      </c>
      <c r="I57" s="2">
        <f>I$35/$P57</f>
        <v>0.7657461699745465</v>
      </c>
      <c r="J57" s="2">
        <f>J$35/$P57</f>
        <v>1.1429047313052931</v>
      </c>
      <c r="K57" s="2">
        <f t="shared" si="16"/>
        <v>2.2858094626105863</v>
      </c>
      <c r="L57" s="2">
        <f t="shared" si="17"/>
        <v>3.428714193915879</v>
      </c>
      <c r="M57" s="2">
        <f t="shared" si="18"/>
        <v>4.5716189252211725</v>
      </c>
      <c r="P57" s="2">
        <f>F57/13*0.9</f>
        <v>75.89492307692308</v>
      </c>
      <c r="Q57" s="10">
        <f>P57*O27</f>
        <v>396.9304476923077</v>
      </c>
      <c r="R57" s="4">
        <f t="shared" si="19"/>
        <v>4763.165372307692</v>
      </c>
      <c r="T57" t="s">
        <v>801</v>
      </c>
    </row>
    <row r="58" spans="1:20" ht="12.75">
      <c r="A58" t="s">
        <v>556</v>
      </c>
      <c r="C58" t="s">
        <v>373</v>
      </c>
      <c r="E58">
        <v>2100</v>
      </c>
      <c r="G58" s="2">
        <f>G35/O58</f>
        <v>0.1988763080540858</v>
      </c>
      <c r="H58" s="2">
        <f>H35/O58</f>
        <v>0.2983144620811288</v>
      </c>
      <c r="I58" s="2">
        <f>I35/O58</f>
        <v>0.39974137918871255</v>
      </c>
      <c r="J58" s="2">
        <f>J35/O58</f>
        <v>0.5966289241622575</v>
      </c>
      <c r="K58" s="2">
        <f t="shared" si="16"/>
        <v>1.193257848324515</v>
      </c>
      <c r="L58" s="2">
        <f t="shared" si="17"/>
        <v>1.7898867724867726</v>
      </c>
      <c r="M58" s="2">
        <f t="shared" si="18"/>
        <v>2.38651569664903</v>
      </c>
      <c r="N58" t="s">
        <v>1142</v>
      </c>
      <c r="O58" s="2">
        <f>E58/13*0.9</f>
        <v>145.3846153846154</v>
      </c>
      <c r="Q58" s="10">
        <f>O58*O26</f>
        <v>436.1538461538462</v>
      </c>
      <c r="R58" s="4">
        <f t="shared" si="19"/>
        <v>5233.846153846154</v>
      </c>
      <c r="T58" t="s">
        <v>197</v>
      </c>
    </row>
    <row r="59" spans="1:20" ht="12.75">
      <c r="A59" t="s">
        <v>562</v>
      </c>
      <c r="C59" s="3"/>
      <c r="F59" s="4">
        <f>E58*0.726</f>
        <v>1524.6</v>
      </c>
      <c r="G59" s="2">
        <f>G$35/$P59</f>
        <v>0.2739343086144433</v>
      </c>
      <c r="H59" s="2">
        <f>H$35/$P59</f>
        <v>0.41090146292166496</v>
      </c>
      <c r="I59" s="2">
        <f>I$35/$P59</f>
        <v>0.5506079603150311</v>
      </c>
      <c r="J59" s="2">
        <f>J$35/$P59</f>
        <v>0.8218029258433299</v>
      </c>
      <c r="K59" s="2">
        <f t="shared" si="16"/>
        <v>1.6436058516866598</v>
      </c>
      <c r="L59" s="2">
        <f t="shared" si="17"/>
        <v>2.4654087775299898</v>
      </c>
      <c r="M59" s="2">
        <f t="shared" si="18"/>
        <v>3.2872117033733197</v>
      </c>
      <c r="P59" s="2">
        <f>F59/13*0.9</f>
        <v>105.54923076923076</v>
      </c>
      <c r="Q59" s="10">
        <f>P59*O26</f>
        <v>316.6476923076923</v>
      </c>
      <c r="R59" s="4">
        <f t="shared" si="19"/>
        <v>3799.7723076923075</v>
      </c>
      <c r="T59" t="s">
        <v>198</v>
      </c>
    </row>
    <row r="60" spans="1:20" ht="12.75">
      <c r="A60" t="s">
        <v>563</v>
      </c>
      <c r="C60" t="s">
        <v>399</v>
      </c>
      <c r="E60">
        <v>2100</v>
      </c>
      <c r="G60" s="2">
        <f>G35/O60</f>
        <v>0.1988763080540858</v>
      </c>
      <c r="H60" s="2">
        <f>H35/O60</f>
        <v>0.2983144620811288</v>
      </c>
      <c r="I60" s="2">
        <f>I35/O60</f>
        <v>0.39974137918871255</v>
      </c>
      <c r="J60" s="2">
        <f>J35/O60</f>
        <v>0.5966289241622575</v>
      </c>
      <c r="K60" s="2">
        <f t="shared" si="16"/>
        <v>1.193257848324515</v>
      </c>
      <c r="L60" s="2">
        <f t="shared" si="17"/>
        <v>1.7898867724867726</v>
      </c>
      <c r="M60" s="2">
        <f t="shared" si="18"/>
        <v>2.38651569664903</v>
      </c>
      <c r="N60" t="s">
        <v>1142</v>
      </c>
      <c r="O60" s="2">
        <f>E60/13*0.9</f>
        <v>145.3846153846154</v>
      </c>
      <c r="Q60" s="10">
        <f>O60*O27</f>
        <v>760.3615384615385</v>
      </c>
      <c r="R60" s="4">
        <f t="shared" si="19"/>
        <v>9124.338461538462</v>
      </c>
      <c r="T60" t="s">
        <v>576</v>
      </c>
    </row>
    <row r="61" spans="1:20" ht="12.75">
      <c r="A61" t="s">
        <v>565</v>
      </c>
      <c r="F61" s="4">
        <f>E60*0.726</f>
        <v>1524.6</v>
      </c>
      <c r="G61" s="2">
        <f>G$35/$P61</f>
        <v>0.2739343086144433</v>
      </c>
      <c r="H61" s="2">
        <f>H$35/$P61</f>
        <v>0.41090146292166496</v>
      </c>
      <c r="I61" s="2">
        <f>I$35/$P61</f>
        <v>0.5506079603150311</v>
      </c>
      <c r="J61" s="2">
        <f>J$35/$P61</f>
        <v>0.8218029258433299</v>
      </c>
      <c r="K61" s="2">
        <f t="shared" si="16"/>
        <v>1.6436058516866598</v>
      </c>
      <c r="L61" s="2">
        <f t="shared" si="17"/>
        <v>2.4654087775299898</v>
      </c>
      <c r="M61" s="2">
        <f t="shared" si="18"/>
        <v>3.2872117033733197</v>
      </c>
      <c r="P61" s="2">
        <f>F61/13*0.9</f>
        <v>105.54923076923076</v>
      </c>
      <c r="Q61" s="10">
        <f>P61*O27</f>
        <v>552.022476923077</v>
      </c>
      <c r="R61" s="4">
        <f t="shared" si="19"/>
        <v>6624.269723076924</v>
      </c>
      <c r="T61" t="s">
        <v>605</v>
      </c>
    </row>
    <row r="62" spans="1:20" ht="12.75">
      <c r="A62" t="s">
        <v>566</v>
      </c>
      <c r="E62" s="46" t="s">
        <v>656</v>
      </c>
      <c r="F62" s="46" t="s">
        <v>651</v>
      </c>
      <c r="G62" s="26"/>
      <c r="H62" s="26"/>
      <c r="I62" s="26"/>
      <c r="J62" s="26"/>
      <c r="K62" s="26"/>
      <c r="L62" s="26"/>
      <c r="M62" s="26"/>
      <c r="T62" t="s">
        <v>606</v>
      </c>
    </row>
    <row r="63" spans="1:18" ht="12.75">
      <c r="A63" t="s">
        <v>569</v>
      </c>
      <c r="C63" t="s">
        <v>1143</v>
      </c>
      <c r="G63" s="25">
        <f>G35/O63</f>
        <v>0.4448239316239315</v>
      </c>
      <c r="H63" s="25">
        <f>H35/O63</f>
        <v>0.6672358974358975</v>
      </c>
      <c r="I63" s="25">
        <f>I35/O63</f>
        <v>0.8940961025641025</v>
      </c>
      <c r="J63" s="25">
        <f>J35/O63</f>
        <v>1.334471794871795</v>
      </c>
      <c r="K63" s="25">
        <f>J63*2</f>
        <v>2.66894358974359</v>
      </c>
      <c r="L63" s="25">
        <f>J63*3</f>
        <v>4.003415384615385</v>
      </c>
      <c r="M63" s="25">
        <f>J63*M3</f>
        <v>9.341302564102564</v>
      </c>
      <c r="N63" t="s">
        <v>1142</v>
      </c>
      <c r="O63" s="4">
        <v>65</v>
      </c>
      <c r="P63" t="s">
        <v>372</v>
      </c>
      <c r="R63" t="s">
        <v>953</v>
      </c>
    </row>
    <row r="64" spans="3:18" ht="12.75">
      <c r="C64" t="s">
        <v>938</v>
      </c>
      <c r="E64">
        <f>SUM(B65:D65)</f>
        <v>830</v>
      </c>
      <c r="G64" s="25">
        <f aca="true" t="shared" si="20" ref="G64:M64">G35/$O64</f>
        <v>0.5031810203778074</v>
      </c>
      <c r="H64" s="25">
        <f t="shared" si="20"/>
        <v>0.7547715305667113</v>
      </c>
      <c r="I64" s="25">
        <f t="shared" si="20"/>
        <v>1.0113938509593932</v>
      </c>
      <c r="J64" s="25">
        <f t="shared" si="20"/>
        <v>1.5095430611334226</v>
      </c>
      <c r="K64" s="25">
        <f t="shared" si="20"/>
        <v>3.0190861222668453</v>
      </c>
      <c r="L64" s="25">
        <f t="shared" si="20"/>
        <v>4.528629183400268</v>
      </c>
      <c r="M64" s="25">
        <f t="shared" si="20"/>
        <v>10.566801427933958</v>
      </c>
      <c r="O64" s="2">
        <f>E64/13*0.9</f>
        <v>57.46153846153846</v>
      </c>
      <c r="R64" t="s">
        <v>945</v>
      </c>
    </row>
    <row r="65" spans="1:15" ht="12.75">
      <c r="A65" t="s">
        <v>802</v>
      </c>
      <c r="B65">
        <v>320</v>
      </c>
      <c r="C65">
        <v>360</v>
      </c>
      <c r="D65">
        <v>150</v>
      </c>
      <c r="G65" s="2"/>
      <c r="H65" s="2"/>
      <c r="I65" s="2"/>
      <c r="J65" s="22"/>
      <c r="K65" s="2"/>
      <c r="L65" s="2"/>
      <c r="M65" s="2"/>
      <c r="O65" s="2" t="s">
        <v>941</v>
      </c>
    </row>
    <row r="66" spans="5:15" ht="12.75">
      <c r="E66" s="8"/>
      <c r="F66" s="8"/>
      <c r="G66" s="39" t="s">
        <v>1021</v>
      </c>
      <c r="H66" s="39" t="s">
        <v>957</v>
      </c>
      <c r="I66" s="39" t="s">
        <v>958</v>
      </c>
      <c r="J66" s="43" t="s">
        <v>667</v>
      </c>
      <c r="K66" s="39" t="s">
        <v>967</v>
      </c>
      <c r="L66" s="39" t="s">
        <v>968</v>
      </c>
      <c r="M66" s="45">
        <f>M3</f>
        <v>7</v>
      </c>
      <c r="N66" s="39" t="s">
        <v>1026</v>
      </c>
      <c r="O66" t="s">
        <v>949</v>
      </c>
    </row>
    <row r="67" spans="1:15" ht="12.75">
      <c r="A67" t="s">
        <v>735</v>
      </c>
      <c r="O67" t="s">
        <v>454</v>
      </c>
    </row>
    <row r="68" spans="1:11" ht="12.75">
      <c r="A68" t="s">
        <v>736</v>
      </c>
      <c r="G68" s="2"/>
      <c r="H68" s="2"/>
      <c r="I68" s="2"/>
      <c r="J68" s="2"/>
      <c r="K68" s="3"/>
    </row>
    <row r="69" spans="1:21" ht="12.75">
      <c r="A69" t="s">
        <v>455</v>
      </c>
      <c r="O69" s="2"/>
      <c r="P69" t="s">
        <v>281</v>
      </c>
      <c r="U69" t="s">
        <v>279</v>
      </c>
    </row>
    <row r="70" spans="1:21" ht="12.75">
      <c r="A70" t="s">
        <v>536</v>
      </c>
      <c r="O70" s="2"/>
      <c r="P70" t="s">
        <v>282</v>
      </c>
      <c r="U70" t="s">
        <v>285</v>
      </c>
    </row>
    <row r="71" spans="1:21" ht="12.75">
      <c r="A71" t="s">
        <v>645</v>
      </c>
      <c r="N71" s="8" t="s">
        <v>54</v>
      </c>
      <c r="O71" s="2"/>
      <c r="U71" t="s">
        <v>280</v>
      </c>
    </row>
    <row r="72" spans="1:15" ht="12.75">
      <c r="A72" t="s">
        <v>702</v>
      </c>
      <c r="O72" s="2"/>
    </row>
    <row r="73" spans="1:15" ht="12.75">
      <c r="A73" t="s">
        <v>1093</v>
      </c>
      <c r="M73" t="s">
        <v>933</v>
      </c>
      <c r="O73" s="2"/>
    </row>
    <row r="74" spans="1:13" ht="12.75">
      <c r="A74" t="s">
        <v>737</v>
      </c>
      <c r="M74" t="s">
        <v>937</v>
      </c>
    </row>
    <row r="75" spans="1:12" ht="12.75">
      <c r="A75" t="s">
        <v>704</v>
      </c>
      <c r="L75" t="s">
        <v>1094</v>
      </c>
    </row>
    <row r="76" spans="1:12" ht="12.75">
      <c r="A76" t="s">
        <v>746</v>
      </c>
      <c r="L76" t="s">
        <v>1104</v>
      </c>
    </row>
    <row r="77" spans="1:12" ht="12.75">
      <c r="A77" t="s">
        <v>747</v>
      </c>
      <c r="L77" t="s">
        <v>1095</v>
      </c>
    </row>
    <row r="78" spans="1:12" ht="12.75">
      <c r="A78" t="s">
        <v>429</v>
      </c>
      <c r="L78" t="s">
        <v>469</v>
      </c>
    </row>
    <row r="79" spans="1:12" ht="12.75">
      <c r="A79" t="s">
        <v>929</v>
      </c>
      <c r="L79" t="s">
        <v>112</v>
      </c>
    </row>
    <row r="80" spans="1:12" ht="12.75">
      <c r="A80" t="s">
        <v>930</v>
      </c>
      <c r="L80" t="s">
        <v>876</v>
      </c>
    </row>
    <row r="81" spans="1:12" ht="12.75">
      <c r="A81" t="s">
        <v>538</v>
      </c>
      <c r="L81" t="s">
        <v>877</v>
      </c>
    </row>
    <row r="82" spans="1:12" ht="12.75">
      <c r="A82" t="s">
        <v>932</v>
      </c>
      <c r="L82" t="s">
        <v>878</v>
      </c>
    </row>
    <row r="83" spans="1:12" ht="12.75">
      <c r="A83" t="s">
        <v>696</v>
      </c>
      <c r="L83" t="s">
        <v>879</v>
      </c>
    </row>
    <row r="85" ht="12.75">
      <c r="A85" t="s">
        <v>697</v>
      </c>
    </row>
    <row r="86" ht="12.75">
      <c r="A86" t="s">
        <v>698</v>
      </c>
    </row>
    <row r="87" ht="12.75">
      <c r="A87" t="s">
        <v>637</v>
      </c>
    </row>
    <row r="88" ht="12.75">
      <c r="A88" t="s">
        <v>726</v>
      </c>
    </row>
    <row r="89" ht="12.75">
      <c r="L89" t="s">
        <v>720</v>
      </c>
    </row>
    <row r="90" spans="1:12" ht="12.75">
      <c r="A90" s="11" t="s">
        <v>16</v>
      </c>
      <c r="B90" s="8"/>
      <c r="C90" s="8"/>
      <c r="G90" t="s">
        <v>973</v>
      </c>
      <c r="L90" t="s">
        <v>721</v>
      </c>
    </row>
    <row r="91" spans="7:12" ht="12.75">
      <c r="G91" t="s">
        <v>983</v>
      </c>
      <c r="L91" t="s">
        <v>722</v>
      </c>
    </row>
    <row r="92" spans="1:12" ht="12.75">
      <c r="A92" t="s">
        <v>1158</v>
      </c>
      <c r="E92" t="s">
        <v>1161</v>
      </c>
      <c r="G92">
        <f>87710/1493</f>
        <v>58.747488278633625</v>
      </c>
      <c r="H92" t="s">
        <v>984</v>
      </c>
      <c r="L92" t="s">
        <v>725</v>
      </c>
    </row>
    <row r="93" spans="1:12" ht="12.75">
      <c r="A93" t="s">
        <v>1159</v>
      </c>
      <c r="C93" t="s">
        <v>1160</v>
      </c>
      <c r="E93" t="s">
        <v>1162</v>
      </c>
      <c r="G93" t="s">
        <v>727</v>
      </c>
      <c r="L93" t="s">
        <v>1097</v>
      </c>
    </row>
    <row r="94" spans="1:12" ht="12.75">
      <c r="A94" s="9"/>
      <c r="E94" s="10"/>
      <c r="G94" s="10"/>
      <c r="L94" t="s">
        <v>1098</v>
      </c>
    </row>
    <row r="95" spans="1:12" ht="12.75">
      <c r="A95" s="9">
        <v>0.1</v>
      </c>
      <c r="C95">
        <v>7000</v>
      </c>
      <c r="E95" s="10">
        <f aca="true" t="shared" si="21" ref="E95:E104">C95/365</f>
        <v>19.17808219178082</v>
      </c>
      <c r="G95" s="10" t="s">
        <v>728</v>
      </c>
      <c r="L95" t="s">
        <v>1110</v>
      </c>
    </row>
    <row r="96" spans="1:12" ht="12.75">
      <c r="A96" s="9">
        <v>0.2</v>
      </c>
      <c r="C96">
        <v>3300</v>
      </c>
      <c r="E96" s="10">
        <f t="shared" si="21"/>
        <v>9.04109589041096</v>
      </c>
      <c r="G96" s="10" t="s">
        <v>2</v>
      </c>
      <c r="L96" t="s">
        <v>1136</v>
      </c>
    </row>
    <row r="97" spans="1:12" ht="12.75">
      <c r="A97" s="9">
        <v>0.3</v>
      </c>
      <c r="C97">
        <v>2050</v>
      </c>
      <c r="E97" s="10">
        <f t="shared" si="21"/>
        <v>5.616438356164384</v>
      </c>
      <c r="G97" s="10"/>
      <c r="L97" t="s">
        <v>1099</v>
      </c>
    </row>
    <row r="98" spans="1:12" ht="12.75">
      <c r="A98" s="9">
        <v>0.4</v>
      </c>
      <c r="C98">
        <v>1475</v>
      </c>
      <c r="E98" s="10">
        <f t="shared" si="21"/>
        <v>4.041095890410959</v>
      </c>
      <c r="G98" s="10"/>
      <c r="L98" t="s">
        <v>1138</v>
      </c>
    </row>
    <row r="99" spans="1:12" ht="12.75">
      <c r="A99" s="9">
        <v>0.5</v>
      </c>
      <c r="C99">
        <v>1150</v>
      </c>
      <c r="E99" s="10">
        <f t="shared" si="21"/>
        <v>3.1506849315068495</v>
      </c>
      <c r="G99" s="10" t="s">
        <v>589</v>
      </c>
      <c r="L99" t="s">
        <v>312</v>
      </c>
    </row>
    <row r="100" spans="1:12" ht="12.75">
      <c r="A100" s="9">
        <v>0.6</v>
      </c>
      <c r="C100">
        <v>950</v>
      </c>
      <c r="E100" s="10">
        <f t="shared" si="21"/>
        <v>2.6027397260273974</v>
      </c>
      <c r="G100" s="10" t="s">
        <v>590</v>
      </c>
      <c r="L100" t="s">
        <v>1100</v>
      </c>
    </row>
    <row r="101" spans="1:12" ht="12.75">
      <c r="A101" s="9">
        <v>0.7</v>
      </c>
      <c r="C101">
        <v>780</v>
      </c>
      <c r="E101" s="10">
        <f t="shared" si="21"/>
        <v>2.136986301369863</v>
      </c>
      <c r="G101" s="10" t="s">
        <v>591</v>
      </c>
      <c r="L101" t="s">
        <v>1139</v>
      </c>
    </row>
    <row r="102" spans="1:12" ht="12.75">
      <c r="A102" s="9">
        <v>0.8</v>
      </c>
      <c r="C102">
        <v>675</v>
      </c>
      <c r="E102" s="10">
        <f t="shared" si="21"/>
        <v>1.8493150684931507</v>
      </c>
      <c r="G102" s="10" t="s">
        <v>592</v>
      </c>
      <c r="L102" t="s">
        <v>1140</v>
      </c>
    </row>
    <row r="103" spans="1:12" ht="12.75">
      <c r="A103" s="9">
        <v>0.9</v>
      </c>
      <c r="C103">
        <v>550</v>
      </c>
      <c r="E103" s="10">
        <f t="shared" si="21"/>
        <v>1.5068493150684932</v>
      </c>
      <c r="G103" s="10" t="s">
        <v>595</v>
      </c>
      <c r="L103" t="s">
        <v>1141</v>
      </c>
    </row>
    <row r="104" spans="1:12" ht="12.75">
      <c r="A104" s="9">
        <v>1</v>
      </c>
      <c r="C104">
        <v>500</v>
      </c>
      <c r="E104" s="10">
        <f t="shared" si="21"/>
        <v>1.36986301369863</v>
      </c>
      <c r="G104" s="10" t="s">
        <v>596</v>
      </c>
      <c r="L104" t="s">
        <v>206</v>
      </c>
    </row>
    <row r="105" spans="7:12" ht="12.75">
      <c r="G105" t="s">
        <v>597</v>
      </c>
      <c r="L105" t="s">
        <v>207</v>
      </c>
    </row>
    <row r="106" spans="1:12" ht="12.75">
      <c r="A106" t="s">
        <v>601</v>
      </c>
      <c r="L106" t="s">
        <v>1101</v>
      </c>
    </row>
    <row r="107" spans="1:12" ht="12.75">
      <c r="A107" t="s">
        <v>607</v>
      </c>
      <c r="L107" t="s">
        <v>1111</v>
      </c>
    </row>
    <row r="108" spans="1:12" ht="12.75">
      <c r="A108" t="s">
        <v>608</v>
      </c>
      <c r="L108" t="s">
        <v>1112</v>
      </c>
    </row>
    <row r="109" spans="1:12" ht="12.75">
      <c r="A109" t="s">
        <v>610</v>
      </c>
      <c r="L109" t="s">
        <v>1117</v>
      </c>
    </row>
    <row r="110" spans="1:12" ht="12.75">
      <c r="A110" t="s">
        <v>615</v>
      </c>
      <c r="L110" t="s">
        <v>1116</v>
      </c>
    </row>
    <row r="111" spans="1:12" ht="12.75">
      <c r="A111" t="s">
        <v>616</v>
      </c>
      <c r="L111" t="s">
        <v>14</v>
      </c>
    </row>
    <row r="112" spans="4:13" ht="12.75">
      <c r="D112" s="1"/>
      <c r="E112" s="1"/>
      <c r="F112" s="1"/>
      <c r="G112" s="1"/>
      <c r="H112" s="1"/>
      <c r="I112" s="1"/>
      <c r="J112" s="1"/>
      <c r="K112" s="1"/>
      <c r="L112" t="s">
        <v>15</v>
      </c>
      <c r="M112" s="1"/>
    </row>
    <row r="113" spans="1:13" ht="12.75">
      <c r="A113" t="s">
        <v>617</v>
      </c>
      <c r="D113" s="2"/>
      <c r="E113" s="2"/>
      <c r="F113" s="4"/>
      <c r="G113" s="2"/>
      <c r="H113" s="2"/>
      <c r="I113" s="2"/>
      <c r="J113" s="2"/>
      <c r="K113" s="2"/>
      <c r="L113" s="2"/>
      <c r="M113" t="s">
        <v>1135</v>
      </c>
    </row>
    <row r="114" spans="1:13" ht="12.75">
      <c r="A114" t="s">
        <v>44</v>
      </c>
      <c r="D114" s="2"/>
      <c r="E114" s="2"/>
      <c r="F114" s="4"/>
      <c r="G114" s="2"/>
      <c r="H114" s="2"/>
      <c r="I114" s="2"/>
      <c r="J114" s="2"/>
      <c r="K114" s="2"/>
      <c r="L114" s="2"/>
      <c r="M114" t="s">
        <v>1124</v>
      </c>
    </row>
    <row r="115" spans="1:13" ht="12.75">
      <c r="A115" t="s">
        <v>308</v>
      </c>
      <c r="D115" s="2"/>
      <c r="E115" s="2"/>
      <c r="F115" s="4"/>
      <c r="G115" s="2"/>
      <c r="H115" s="2"/>
      <c r="I115" s="2"/>
      <c r="J115" s="2"/>
      <c r="K115" s="2"/>
      <c r="L115" s="2"/>
      <c r="M115" t="s">
        <v>30</v>
      </c>
    </row>
    <row r="116" spans="4:13" ht="12.75">
      <c r="D116" s="2"/>
      <c r="E116" s="2"/>
      <c r="F116" s="4"/>
      <c r="G116" s="2"/>
      <c r="H116" s="2"/>
      <c r="I116" s="2"/>
      <c r="J116" s="2"/>
      <c r="K116" s="2"/>
      <c r="L116" s="2"/>
      <c r="M116" t="s">
        <v>31</v>
      </c>
    </row>
    <row r="117" spans="1:13" ht="12.75">
      <c r="A117" t="s">
        <v>729</v>
      </c>
      <c r="D117" s="2"/>
      <c r="E117" s="2"/>
      <c r="F117" s="4"/>
      <c r="G117" s="2"/>
      <c r="H117" s="2"/>
      <c r="I117" s="2"/>
      <c r="J117" s="2"/>
      <c r="K117" s="2"/>
      <c r="L117" s="2"/>
      <c r="M117" t="s">
        <v>1125</v>
      </c>
    </row>
    <row r="118" spans="1:13" ht="12.75">
      <c r="A118" t="s">
        <v>730</v>
      </c>
      <c r="D118" s="2"/>
      <c r="E118" s="2"/>
      <c r="F118" s="4"/>
      <c r="G118" s="2"/>
      <c r="H118" s="2"/>
      <c r="I118" s="2"/>
      <c r="J118" s="2"/>
      <c r="K118" s="2"/>
      <c r="L118" s="2"/>
      <c r="M118" t="s">
        <v>1127</v>
      </c>
    </row>
    <row r="119" spans="1:13" ht="12.75">
      <c r="A119" t="s">
        <v>731</v>
      </c>
      <c r="D119" s="2"/>
      <c r="E119" s="2"/>
      <c r="F119" s="4"/>
      <c r="G119" s="2"/>
      <c r="H119" s="2"/>
      <c r="I119" s="2"/>
      <c r="J119" s="2"/>
      <c r="K119" s="2"/>
      <c r="L119" s="2"/>
      <c r="M119" t="s">
        <v>1128</v>
      </c>
    </row>
    <row r="120" spans="1:13" ht="12.75">
      <c r="A120" t="s">
        <v>732</v>
      </c>
      <c r="D120" s="2"/>
      <c r="E120" s="2"/>
      <c r="F120" s="4"/>
      <c r="G120" s="2"/>
      <c r="H120" s="2"/>
      <c r="I120" s="2"/>
      <c r="J120" s="2"/>
      <c r="K120" s="2"/>
      <c r="L120" s="2"/>
      <c r="M120" t="s">
        <v>32</v>
      </c>
    </row>
    <row r="121" spans="1:13" ht="12.75">
      <c r="A121" t="s">
        <v>486</v>
      </c>
      <c r="D121" s="2"/>
      <c r="E121" s="2"/>
      <c r="F121" s="4"/>
      <c r="G121" s="2"/>
      <c r="H121" s="2"/>
      <c r="I121" s="2"/>
      <c r="J121" s="2"/>
      <c r="K121" s="2"/>
      <c r="L121" s="2"/>
      <c r="M121" t="s">
        <v>1126</v>
      </c>
    </row>
    <row r="122" spans="1:13" ht="12.75">
      <c r="A122" t="s">
        <v>485</v>
      </c>
      <c r="D122" s="2"/>
      <c r="E122" s="2"/>
      <c r="F122" s="4"/>
      <c r="G122" s="2"/>
      <c r="H122" s="2"/>
      <c r="I122" s="2"/>
      <c r="J122" s="2"/>
      <c r="K122" s="2"/>
      <c r="L122" s="2"/>
      <c r="M122" t="s">
        <v>41</v>
      </c>
    </row>
    <row r="123" spans="1:13" ht="12.75">
      <c r="A123" t="s">
        <v>733</v>
      </c>
      <c r="C123" s="2"/>
      <c r="D123" s="2"/>
      <c r="E123" s="2"/>
      <c r="F123" s="4"/>
      <c r="G123" s="2"/>
      <c r="H123" s="2"/>
      <c r="I123" s="2"/>
      <c r="J123" s="2"/>
      <c r="K123" s="2"/>
      <c r="L123" s="2"/>
      <c r="M123" t="s">
        <v>1129</v>
      </c>
    </row>
    <row r="124" spans="3:13" ht="12.75">
      <c r="C124" s="2"/>
      <c r="D124" s="2"/>
      <c r="E124" s="2"/>
      <c r="F124" s="4"/>
      <c r="G124" s="2"/>
      <c r="H124" s="2"/>
      <c r="I124" s="2"/>
      <c r="J124" s="2"/>
      <c r="K124" s="2"/>
      <c r="L124" s="2"/>
      <c r="M124" t="s">
        <v>631</v>
      </c>
    </row>
    <row r="125" spans="1:13" ht="12.75">
      <c r="A125" s="8" t="s">
        <v>49</v>
      </c>
      <c r="M125" t="s">
        <v>1131</v>
      </c>
    </row>
    <row r="126" spans="1:13" ht="12.75">
      <c r="A126" s="3">
        <v>210</v>
      </c>
      <c r="B126" t="s">
        <v>57</v>
      </c>
      <c r="I126" t="s">
        <v>663</v>
      </c>
      <c r="M126" t="s">
        <v>1132</v>
      </c>
    </row>
    <row r="127" spans="1:13" ht="12.75">
      <c r="A127" s="3">
        <v>80</v>
      </c>
      <c r="B127" t="s">
        <v>904</v>
      </c>
      <c r="M127" t="s">
        <v>1133</v>
      </c>
    </row>
    <row r="128" spans="1:13" ht="12.75">
      <c r="A128" s="3">
        <v>1138</v>
      </c>
      <c r="B128" t="s">
        <v>433</v>
      </c>
      <c r="M128" t="s">
        <v>1134</v>
      </c>
    </row>
    <row r="129" spans="1:13" ht="12.75">
      <c r="A129" s="3">
        <v>392</v>
      </c>
      <c r="B129" t="s">
        <v>1048</v>
      </c>
      <c r="M129" t="s">
        <v>208</v>
      </c>
    </row>
    <row r="130" spans="1:13" ht="12.75">
      <c r="A130" s="3">
        <v>430</v>
      </c>
      <c r="B130" t="s">
        <v>487</v>
      </c>
      <c r="M130" t="s">
        <v>210</v>
      </c>
    </row>
    <row r="131" spans="1:13" ht="12.75">
      <c r="A131" s="3">
        <v>410</v>
      </c>
      <c r="B131" t="s">
        <v>920</v>
      </c>
      <c r="M131" t="s">
        <v>209</v>
      </c>
    </row>
    <row r="132" spans="1:13" ht="12.75">
      <c r="A132" s="3">
        <v>35</v>
      </c>
      <c r="B132" t="s">
        <v>872</v>
      </c>
      <c r="M132" t="s">
        <v>309</v>
      </c>
    </row>
    <row r="133" spans="2:13" ht="12.75">
      <c r="B133" t="s">
        <v>873</v>
      </c>
      <c r="M133" t="s">
        <v>310</v>
      </c>
    </row>
    <row r="134" spans="1:13" ht="12.75">
      <c r="A134" s="3"/>
      <c r="M134" t="s">
        <v>311</v>
      </c>
    </row>
    <row r="135" spans="1:2" ht="12.75">
      <c r="A135" s="3">
        <f>SUM(A126:A134)</f>
        <v>2695</v>
      </c>
      <c r="B135" t="s">
        <v>1182</v>
      </c>
    </row>
    <row r="136" spans="1:3" ht="12.75">
      <c r="A136" s="3"/>
      <c r="C136" t="s">
        <v>1183</v>
      </c>
    </row>
    <row r="137" spans="2:12" ht="12.75">
      <c r="B137" t="s">
        <v>24</v>
      </c>
      <c r="L137" s="3"/>
    </row>
    <row r="138" spans="2:13" ht="12.75">
      <c r="B138" t="s">
        <v>48</v>
      </c>
      <c r="L138" s="3"/>
      <c r="M138" t="s">
        <v>321</v>
      </c>
    </row>
    <row r="139" spans="2:13" ht="12.75">
      <c r="B139" t="s">
        <v>25</v>
      </c>
      <c r="M139" t="s">
        <v>322</v>
      </c>
    </row>
    <row r="140" spans="2:13" ht="12.75">
      <c r="B140" t="s">
        <v>28</v>
      </c>
      <c r="M140" t="s">
        <v>323</v>
      </c>
    </row>
    <row r="141" spans="2:13" ht="12.75">
      <c r="B141" t="s">
        <v>50</v>
      </c>
      <c r="M141" t="s">
        <v>332</v>
      </c>
    </row>
    <row r="142" spans="2:13" ht="12.75">
      <c r="B142" t="s">
        <v>29</v>
      </c>
      <c r="M142" t="s">
        <v>320</v>
      </c>
    </row>
    <row r="143" ht="12.75">
      <c r="B143" t="s">
        <v>51</v>
      </c>
    </row>
    <row r="144" spans="2:13" ht="12.75">
      <c r="B144" t="s">
        <v>488</v>
      </c>
      <c r="M144" t="s">
        <v>264</v>
      </c>
    </row>
    <row r="145" ht="12.75">
      <c r="M145" s="21" t="s">
        <v>263</v>
      </c>
    </row>
    <row r="146" spans="2:13" ht="12.75">
      <c r="B146" t="s">
        <v>52</v>
      </c>
      <c r="M146" t="s">
        <v>313</v>
      </c>
    </row>
    <row r="147" spans="2:13" ht="12.75">
      <c r="B147" t="s">
        <v>53</v>
      </c>
      <c r="M147" t="s">
        <v>265</v>
      </c>
    </row>
    <row r="148" spans="2:13" ht="12.75">
      <c r="B148" t="s">
        <v>55</v>
      </c>
      <c r="G148" s="2"/>
      <c r="H148" s="2"/>
      <c r="I148" s="2"/>
      <c r="J148" s="2"/>
      <c r="K148" s="2"/>
      <c r="L148" s="2"/>
      <c r="M148" t="s">
        <v>267</v>
      </c>
    </row>
    <row r="149" spans="2:12" ht="12.75">
      <c r="B149" t="s">
        <v>56</v>
      </c>
      <c r="G149" s="2"/>
      <c r="H149" s="2"/>
      <c r="I149" s="2"/>
      <c r="J149" s="2"/>
      <c r="K149" s="2"/>
      <c r="L149" s="2"/>
    </row>
    <row r="150" ht="12.75">
      <c r="M150" t="s">
        <v>338</v>
      </c>
    </row>
    <row r="151" spans="2:13" ht="12.75">
      <c r="B151" t="s">
        <v>62</v>
      </c>
      <c r="M151" t="s">
        <v>336</v>
      </c>
    </row>
    <row r="152" spans="2:13" ht="12.75">
      <c r="B152" t="s">
        <v>65</v>
      </c>
      <c r="M152" t="s">
        <v>1049</v>
      </c>
    </row>
    <row r="153" spans="2:13" ht="12.75">
      <c r="B153" t="s">
        <v>117</v>
      </c>
      <c r="M153" t="s">
        <v>339</v>
      </c>
    </row>
    <row r="154" spans="2:13" ht="12.75">
      <c r="B154" t="s">
        <v>163</v>
      </c>
      <c r="M154" t="s">
        <v>340</v>
      </c>
    </row>
    <row r="155" spans="2:13" ht="12.75">
      <c r="B155" t="s">
        <v>165</v>
      </c>
      <c r="M155" t="s">
        <v>342</v>
      </c>
    </row>
    <row r="156" ht="12.75">
      <c r="M156" t="s">
        <v>344</v>
      </c>
    </row>
    <row r="157" spans="2:13" ht="12.75">
      <c r="B157" t="s">
        <v>125</v>
      </c>
      <c r="M157" t="s">
        <v>345</v>
      </c>
    </row>
    <row r="158" spans="2:13" ht="12.75">
      <c r="B158" t="s">
        <v>126</v>
      </c>
      <c r="M158" t="s">
        <v>346</v>
      </c>
    </row>
    <row r="160" spans="2:16" ht="12.75">
      <c r="B160" t="s">
        <v>1050</v>
      </c>
      <c r="I160" s="29"/>
      <c r="J160" s="17"/>
      <c r="P160" s="20" t="s">
        <v>366</v>
      </c>
    </row>
    <row r="161" spans="2:21" ht="12.75">
      <c r="B161" t="s">
        <v>629</v>
      </c>
      <c r="O161" t="s">
        <v>925</v>
      </c>
      <c r="P161" s="20"/>
      <c r="Q161" t="s">
        <v>924</v>
      </c>
      <c r="R161" t="s">
        <v>886</v>
      </c>
      <c r="S161" t="s">
        <v>928</v>
      </c>
      <c r="U161" t="s">
        <v>1028</v>
      </c>
    </row>
    <row r="162" spans="2:21" ht="12.75">
      <c r="B162" t="s">
        <v>630</v>
      </c>
      <c r="L162" t="s">
        <v>537</v>
      </c>
      <c r="P162" t="s">
        <v>113</v>
      </c>
      <c r="Q162">
        <v>3.34</v>
      </c>
      <c r="R162">
        <v>4.09</v>
      </c>
      <c r="S162">
        <v>4.74</v>
      </c>
      <c r="U162">
        <v>3.67</v>
      </c>
    </row>
    <row r="163" ht="12.75">
      <c r="B163" t="s">
        <v>1052</v>
      </c>
    </row>
    <row r="164" spans="2:21" ht="12.75">
      <c r="B164" t="s">
        <v>1053</v>
      </c>
      <c r="P164" t="s">
        <v>255</v>
      </c>
      <c r="Q164">
        <v>5.09</v>
      </c>
      <c r="R164">
        <v>5.16</v>
      </c>
      <c r="S164">
        <v>6.74</v>
      </c>
      <c r="U164">
        <v>4.62</v>
      </c>
    </row>
    <row r="165" ht="12.75">
      <c r="B165" t="s">
        <v>128</v>
      </c>
    </row>
    <row r="166" spans="2:16" ht="12.75">
      <c r="B166" t="s">
        <v>212</v>
      </c>
      <c r="P166" t="s">
        <v>368</v>
      </c>
    </row>
    <row r="167" ht="12.75">
      <c r="B167" t="s">
        <v>129</v>
      </c>
    </row>
    <row r="168" spans="2:16" ht="12.75">
      <c r="B168" t="s">
        <v>216</v>
      </c>
      <c r="P168" t="s">
        <v>893</v>
      </c>
    </row>
    <row r="169" spans="2:16" ht="12.75">
      <c r="B169" t="s">
        <v>139</v>
      </c>
      <c r="P169" t="s">
        <v>262</v>
      </c>
    </row>
    <row r="170" spans="2:16" ht="12.75">
      <c r="B170" t="s">
        <v>140</v>
      </c>
      <c r="P170" t="s">
        <v>367</v>
      </c>
    </row>
    <row r="171" ht="12.75">
      <c r="B171" t="s">
        <v>217</v>
      </c>
    </row>
    <row r="172" spans="2:16" ht="12.75">
      <c r="B172" t="s">
        <v>143</v>
      </c>
      <c r="P172" t="s">
        <v>245</v>
      </c>
    </row>
    <row r="173" spans="2:16" ht="12.75">
      <c r="B173" t="s">
        <v>144</v>
      </c>
      <c r="P173" t="s">
        <v>246</v>
      </c>
    </row>
    <row r="174" ht="12.75">
      <c r="P174" t="s">
        <v>290</v>
      </c>
    </row>
    <row r="175" spans="2:16" ht="12.75">
      <c r="B175" t="s">
        <v>287</v>
      </c>
      <c r="P175" t="s">
        <v>291</v>
      </c>
    </row>
    <row r="176" ht="12.75">
      <c r="B176" t="s">
        <v>167</v>
      </c>
    </row>
    <row r="177" spans="2:13" ht="12.75">
      <c r="B177" t="s">
        <v>166</v>
      </c>
      <c r="L177" t="s">
        <v>925</v>
      </c>
      <c r="M177" t="s">
        <v>927</v>
      </c>
    </row>
    <row r="178" spans="2:13" ht="12.75">
      <c r="B178" t="s">
        <v>288</v>
      </c>
      <c r="M178" t="s">
        <v>263</v>
      </c>
    </row>
    <row r="179" ht="12.75">
      <c r="B179" t="s">
        <v>314</v>
      </c>
    </row>
    <row r="180" ht="12.75">
      <c r="B180" t="s">
        <v>315</v>
      </c>
    </row>
    <row r="182" spans="3:14" ht="12.75">
      <c r="C182" s="8" t="s">
        <v>490</v>
      </c>
      <c r="H182" s="2"/>
      <c r="I182" s="2"/>
      <c r="J182" s="2"/>
      <c r="K182" s="2"/>
      <c r="L182" s="2"/>
      <c r="M182" s="2"/>
      <c r="N182" s="10"/>
    </row>
    <row r="183" spans="1:13" ht="12.75">
      <c r="A183" s="15"/>
      <c r="C183" t="s">
        <v>414</v>
      </c>
      <c r="E183" t="s">
        <v>420</v>
      </c>
      <c r="G183" s="2" t="s">
        <v>628</v>
      </c>
      <c r="H183" s="2"/>
      <c r="I183" s="2"/>
      <c r="J183" s="2"/>
      <c r="K183" s="2"/>
      <c r="L183" s="2"/>
      <c r="M183" s="2"/>
    </row>
    <row r="184" spans="3:16" ht="12.75">
      <c r="C184" t="s">
        <v>373</v>
      </c>
      <c r="E184">
        <v>400</v>
      </c>
      <c r="F184" t="s">
        <v>201</v>
      </c>
      <c r="G184" s="2">
        <f>G$35/$O$184</f>
        <v>1.0441006172839504</v>
      </c>
      <c r="H184" s="2">
        <f>H$35/$O$184</f>
        <v>1.5661509259259259</v>
      </c>
      <c r="I184" s="2">
        <f>I$35/$O$184</f>
        <v>2.0986422407407406</v>
      </c>
      <c r="J184" s="2">
        <f>J$35/$O$184</f>
        <v>3.1323018518518517</v>
      </c>
      <c r="K184" s="2">
        <f>J184*2</f>
        <v>6.2646037037037035</v>
      </c>
      <c r="L184" s="2">
        <f>J184*3</f>
        <v>9.396905555555556</v>
      </c>
      <c r="M184" s="2">
        <f>J184*4</f>
        <v>12.529207407407407</v>
      </c>
      <c r="N184" t="s">
        <v>1142</v>
      </c>
      <c r="O184">
        <f>E184/13*0.9</f>
        <v>27.692307692307693</v>
      </c>
      <c r="P184" t="s">
        <v>370</v>
      </c>
    </row>
    <row r="185" spans="3:16" ht="12.75">
      <c r="C185" t="s">
        <v>399</v>
      </c>
      <c r="E185">
        <v>400</v>
      </c>
      <c r="F185" t="s">
        <v>201</v>
      </c>
      <c r="G185" s="2">
        <f>G$35/$O$184</f>
        <v>1.0441006172839504</v>
      </c>
      <c r="H185" s="2">
        <f>H$35/$O185</f>
        <v>1.5661509259259259</v>
      </c>
      <c r="I185" s="2">
        <f>I$35/$O185</f>
        <v>2.0986422407407406</v>
      </c>
      <c r="J185" s="2">
        <f>J$35/$O185</f>
        <v>3.1323018518518517</v>
      </c>
      <c r="K185" s="2">
        <f>J185*2</f>
        <v>6.2646037037037035</v>
      </c>
      <c r="L185" s="2">
        <f>J185*3</f>
        <v>9.396905555555556</v>
      </c>
      <c r="M185" s="2">
        <f>J185*4</f>
        <v>12.529207407407407</v>
      </c>
      <c r="N185" t="s">
        <v>1142</v>
      </c>
      <c r="O185">
        <f>E185/13*0.9</f>
        <v>27.692307692307693</v>
      </c>
      <c r="P185" t="s">
        <v>370</v>
      </c>
    </row>
    <row r="186" spans="3:19" ht="12.75">
      <c r="C186" t="s">
        <v>373</v>
      </c>
      <c r="E186">
        <v>800</v>
      </c>
      <c r="F186" t="s">
        <v>201</v>
      </c>
      <c r="G186" s="2">
        <f aca="true" t="shared" si="22" ref="G186:J187">G$35/$O$186</f>
        <v>0.5220503086419752</v>
      </c>
      <c r="H186" s="2">
        <f t="shared" si="22"/>
        <v>0.7830754629629629</v>
      </c>
      <c r="I186" s="2">
        <f t="shared" si="22"/>
        <v>1.0493211203703703</v>
      </c>
      <c r="J186" s="2">
        <f t="shared" si="22"/>
        <v>1.5661509259259259</v>
      </c>
      <c r="K186" s="2">
        <f>J186*2</f>
        <v>3.1323018518518517</v>
      </c>
      <c r="L186" s="2">
        <f>J186*3</f>
        <v>4.698452777777778</v>
      </c>
      <c r="M186" s="2">
        <f>J186*4</f>
        <v>6.2646037037037035</v>
      </c>
      <c r="N186" t="s">
        <v>1142</v>
      </c>
      <c r="O186">
        <f>E186/13*0.9</f>
        <v>55.38461538461539</v>
      </c>
      <c r="S186" s="20" t="s">
        <v>366</v>
      </c>
    </row>
    <row r="187" spans="3:20" ht="12.75">
      <c r="C187" t="s">
        <v>399</v>
      </c>
      <c r="E187">
        <v>800</v>
      </c>
      <c r="F187" t="s">
        <v>201</v>
      </c>
      <c r="G187" s="2">
        <f t="shared" si="22"/>
        <v>0.5220503086419752</v>
      </c>
      <c r="H187" s="2">
        <f t="shared" si="22"/>
        <v>0.7830754629629629</v>
      </c>
      <c r="I187" s="2">
        <f t="shared" si="22"/>
        <v>1.0493211203703703</v>
      </c>
      <c r="J187" s="2">
        <f t="shared" si="22"/>
        <v>1.5661509259259259</v>
      </c>
      <c r="K187" s="2">
        <f>J187*2</f>
        <v>3.1323018518518517</v>
      </c>
      <c r="L187" s="2">
        <f>J187*3</f>
        <v>4.698452777777778</v>
      </c>
      <c r="M187" s="2">
        <f>J187*4</f>
        <v>6.2646037037037035</v>
      </c>
      <c r="N187" t="s">
        <v>1142</v>
      </c>
      <c r="O187">
        <f>E187/13*0.9</f>
        <v>55.38461538461539</v>
      </c>
      <c r="Q187" t="s">
        <v>491</v>
      </c>
      <c r="S187" t="s">
        <v>254</v>
      </c>
      <c r="T187" s="10">
        <f>O26*1.225</f>
        <v>3.6750000000000003</v>
      </c>
    </row>
    <row r="188" spans="7:20" ht="12.75">
      <c r="G188" s="2"/>
      <c r="H188" s="2"/>
      <c r="I188" s="2"/>
      <c r="J188" s="2"/>
      <c r="K188" s="2"/>
      <c r="L188" s="2"/>
      <c r="M188" s="2"/>
      <c r="Q188" t="s">
        <v>492</v>
      </c>
      <c r="S188" t="s">
        <v>255</v>
      </c>
      <c r="T188" s="10">
        <f>O27*1.225</f>
        <v>6.406750000000001</v>
      </c>
    </row>
    <row r="189" spans="3:17" ht="12.75">
      <c r="C189" t="s">
        <v>989</v>
      </c>
      <c r="G189" s="2"/>
      <c r="H189" s="2"/>
      <c r="I189" s="2"/>
      <c r="J189" s="2"/>
      <c r="K189" s="2"/>
      <c r="L189" s="2"/>
      <c r="M189" s="2"/>
      <c r="Q189" t="s">
        <v>493</v>
      </c>
    </row>
    <row r="190" spans="7:13" ht="12.75">
      <c r="G190" s="2"/>
      <c r="H190" s="2"/>
      <c r="I190" s="2"/>
      <c r="J190" s="2"/>
      <c r="K190" s="2"/>
      <c r="L190" s="2"/>
      <c r="M190" s="2"/>
    </row>
    <row r="191" spans="2:13" ht="12.75">
      <c r="B191" s="8" t="s">
        <v>527</v>
      </c>
      <c r="G191" s="2"/>
      <c r="H191" s="2"/>
      <c r="I191" s="2"/>
      <c r="J191" s="2"/>
      <c r="K191" s="2"/>
      <c r="L191" s="2"/>
      <c r="M191" s="2"/>
    </row>
    <row r="192" spans="2:13" ht="12.75">
      <c r="B192" s="23" t="s">
        <v>374</v>
      </c>
      <c r="G192" s="2"/>
      <c r="H192" s="2"/>
      <c r="I192" s="2"/>
      <c r="J192" s="2"/>
      <c r="K192" s="2"/>
      <c r="L192" s="2"/>
      <c r="M192" s="2"/>
    </row>
    <row r="193" spans="2:13" ht="12.75">
      <c r="B193" t="s">
        <v>516</v>
      </c>
      <c r="G193" s="2"/>
      <c r="H193" s="2"/>
      <c r="I193" s="2"/>
      <c r="J193" s="2"/>
      <c r="K193" s="2"/>
      <c r="L193" s="2"/>
      <c r="M193" s="2"/>
    </row>
    <row r="194" spans="2:13" ht="12.75">
      <c r="B194" t="s">
        <v>494</v>
      </c>
      <c r="G194" s="2"/>
      <c r="H194" s="2"/>
      <c r="I194" s="2"/>
      <c r="J194" s="2"/>
      <c r="K194" t="s">
        <v>121</v>
      </c>
      <c r="L194" s="2"/>
      <c r="M194" s="2"/>
    </row>
    <row r="195" spans="2:13" ht="12.75">
      <c r="B195" t="s">
        <v>1054</v>
      </c>
      <c r="G195" s="2"/>
      <c r="H195" s="2"/>
      <c r="I195" s="2"/>
      <c r="J195" s="2"/>
      <c r="K195" t="s">
        <v>123</v>
      </c>
      <c r="L195" s="2"/>
      <c r="M195" s="2"/>
    </row>
    <row r="196" spans="2:13" ht="12.75">
      <c r="B196" t="s">
        <v>1055</v>
      </c>
      <c r="G196" s="2"/>
      <c r="H196" s="2"/>
      <c r="I196" s="2"/>
      <c r="J196" s="2"/>
      <c r="K196" s="2" t="s">
        <v>296</v>
      </c>
      <c r="L196" s="2"/>
      <c r="M196" s="2"/>
    </row>
    <row r="197" spans="7:13" ht="12.75">
      <c r="G197" s="2"/>
      <c r="H197" s="2"/>
      <c r="I197" s="2"/>
      <c r="J197" s="2"/>
      <c r="K197" s="2"/>
      <c r="L197" s="2"/>
      <c r="M197" s="2"/>
    </row>
    <row r="198" spans="2:15" ht="12.75">
      <c r="B198" t="s">
        <v>499</v>
      </c>
      <c r="G198" s="2"/>
      <c r="H198" s="2"/>
      <c r="I198" s="2"/>
      <c r="J198" s="2"/>
      <c r="K198" s="2"/>
      <c r="L198" s="2"/>
      <c r="M198" s="2"/>
      <c r="O198" s="4"/>
    </row>
    <row r="199" ht="12.75">
      <c r="B199" t="s">
        <v>501</v>
      </c>
    </row>
    <row r="201" ht="12.75">
      <c r="B201" s="23" t="s">
        <v>1056</v>
      </c>
    </row>
    <row r="202" ht="12.75">
      <c r="B202" s="23" t="s">
        <v>1057</v>
      </c>
    </row>
    <row r="203" ht="12.75">
      <c r="B203" s="23" t="s">
        <v>1058</v>
      </c>
    </row>
    <row r="204" ht="12.75">
      <c r="B204" s="23"/>
    </row>
    <row r="205" ht="12.75">
      <c r="B205" s="23" t="s">
        <v>1059</v>
      </c>
    </row>
    <row r="206" ht="12.75">
      <c r="B206" s="23" t="s">
        <v>1060</v>
      </c>
    </row>
    <row r="209" spans="2:15" ht="12.75">
      <c r="B209" t="s">
        <v>502</v>
      </c>
      <c r="O209" t="s">
        <v>1022</v>
      </c>
    </row>
    <row r="210" ht="12.75">
      <c r="O210" t="s">
        <v>1023</v>
      </c>
    </row>
    <row r="211" spans="2:15" ht="12.75">
      <c r="B211" t="s">
        <v>528</v>
      </c>
      <c r="O211" t="s">
        <v>1024</v>
      </c>
    </row>
    <row r="212" spans="2:15" ht="12.75">
      <c r="B212" t="s">
        <v>854</v>
      </c>
      <c r="O212" t="s">
        <v>1025</v>
      </c>
    </row>
    <row r="213" ht="12.75">
      <c r="B213" t="s">
        <v>530</v>
      </c>
    </row>
    <row r="214" ht="12.75">
      <c r="B214" t="s">
        <v>533</v>
      </c>
    </row>
    <row r="215" ht="12.75">
      <c r="B215" t="s">
        <v>540</v>
      </c>
    </row>
    <row r="216" ht="12.75">
      <c r="B216" t="s">
        <v>539</v>
      </c>
    </row>
    <row r="217" ht="12.75">
      <c r="B217" t="s">
        <v>869</v>
      </c>
    </row>
    <row r="218" ht="12.75">
      <c r="B218" t="s">
        <v>541</v>
      </c>
    </row>
    <row r="220" ht="12.75">
      <c r="B220" t="s">
        <v>642</v>
      </c>
    </row>
    <row r="221" ht="12.75">
      <c r="B221" t="s">
        <v>643</v>
      </c>
    </row>
    <row r="222" ht="12.75">
      <c r="B222" t="s">
        <v>644</v>
      </c>
    </row>
    <row r="223" ht="12.75">
      <c r="B223" t="s">
        <v>647</v>
      </c>
    </row>
    <row r="224" ht="12.75">
      <c r="B224" t="s">
        <v>648</v>
      </c>
    </row>
    <row r="225" ht="12.75">
      <c r="B225" t="s">
        <v>650</v>
      </c>
    </row>
    <row r="226" ht="12.75">
      <c r="B226" t="s">
        <v>649</v>
      </c>
    </row>
    <row r="228" ht="12.75">
      <c r="A228" t="s">
        <v>855</v>
      </c>
    </row>
    <row r="229" spans="1:6" ht="12.75">
      <c r="A229" t="s">
        <v>856</v>
      </c>
      <c r="E229">
        <v>560</v>
      </c>
      <c r="F229" t="s">
        <v>201</v>
      </c>
    </row>
    <row r="230" spans="1:6" ht="12.75">
      <c r="A230" t="s">
        <v>860</v>
      </c>
      <c r="E230">
        <v>290</v>
      </c>
      <c r="F230" t="s">
        <v>201</v>
      </c>
    </row>
    <row r="231" spans="1:6" ht="12.75">
      <c r="A231" t="s">
        <v>861</v>
      </c>
      <c r="E231">
        <v>500</v>
      </c>
      <c r="F231" t="s">
        <v>201</v>
      </c>
    </row>
    <row r="232" spans="1:6" ht="12.75">
      <c r="A232" t="s">
        <v>862</v>
      </c>
      <c r="E232">
        <v>38</v>
      </c>
      <c r="F232" t="s">
        <v>201</v>
      </c>
    </row>
    <row r="233" spans="1:6" ht="12.75">
      <c r="A233" t="s">
        <v>864</v>
      </c>
      <c r="E233">
        <v>8</v>
      </c>
      <c r="F233" t="s">
        <v>201</v>
      </c>
    </row>
    <row r="235" spans="1:7" ht="12.75">
      <c r="A235" t="s">
        <v>865</v>
      </c>
      <c r="E235">
        <f>SUM(E229:E234)</f>
        <v>1396</v>
      </c>
      <c r="F235" t="s">
        <v>201</v>
      </c>
      <c r="G235" t="s">
        <v>866</v>
      </c>
    </row>
    <row r="237" spans="1:16" ht="12.75">
      <c r="A237" t="s">
        <v>375</v>
      </c>
      <c r="P237" t="s">
        <v>376</v>
      </c>
    </row>
    <row r="238" ht="12.75">
      <c r="P238" t="s">
        <v>386</v>
      </c>
    </row>
    <row r="239" ht="12.75">
      <c r="P239" t="s">
        <v>387</v>
      </c>
    </row>
    <row r="240" ht="12.75">
      <c r="P240" t="s">
        <v>388</v>
      </c>
    </row>
    <row r="241" spans="1:16" ht="12.75">
      <c r="A241" t="s">
        <v>1076</v>
      </c>
      <c r="P241" t="s">
        <v>392</v>
      </c>
    </row>
    <row r="242" spans="1:16" ht="12.75">
      <c r="A242" t="s">
        <v>1027</v>
      </c>
      <c r="P242" t="s">
        <v>393</v>
      </c>
    </row>
    <row r="243" spans="1:16" ht="12.75">
      <c r="A243" t="s">
        <v>1068</v>
      </c>
      <c r="P243" t="s">
        <v>394</v>
      </c>
    </row>
    <row r="244" spans="1:16" ht="12.75">
      <c r="A244" t="s">
        <v>1071</v>
      </c>
      <c r="P244" t="s">
        <v>395</v>
      </c>
    </row>
    <row r="245" spans="1:16" ht="12.75">
      <c r="A245" t="s">
        <v>1075</v>
      </c>
      <c r="P245" t="s">
        <v>396</v>
      </c>
    </row>
    <row r="246" spans="1:16" ht="12.75">
      <c r="A246" t="s">
        <v>1073</v>
      </c>
      <c r="P246" t="s">
        <v>397</v>
      </c>
    </row>
    <row r="247" ht="12.75">
      <c r="A247" t="s">
        <v>1061</v>
      </c>
    </row>
    <row r="248" ht="12.75">
      <c r="A248" t="s">
        <v>1077</v>
      </c>
    </row>
    <row r="250" ht="12.75">
      <c r="A250" s="48" t="s">
        <v>1036</v>
      </c>
    </row>
    <row r="251" ht="12.75">
      <c r="A251" s="48" t="s">
        <v>1065</v>
      </c>
    </row>
    <row r="252" ht="12.75">
      <c r="A252" s="48" t="s">
        <v>1067</v>
      </c>
    </row>
    <row r="254" spans="1:2" ht="12.75">
      <c r="A254" s="51" t="s">
        <v>677</v>
      </c>
      <c r="B254" t="s">
        <v>1184</v>
      </c>
    </row>
    <row r="255" ht="12.75">
      <c r="B255" t="s">
        <v>678</v>
      </c>
    </row>
    <row r="256" ht="12.75">
      <c r="B256" t="s">
        <v>679</v>
      </c>
    </row>
    <row r="257" ht="12.75">
      <c r="B257" t="s">
        <v>680</v>
      </c>
    </row>
    <row r="258" ht="12.75">
      <c r="B258" t="s">
        <v>681</v>
      </c>
    </row>
    <row r="259" ht="12.75">
      <c r="B259" t="s">
        <v>682</v>
      </c>
    </row>
    <row r="260" ht="12.75">
      <c r="B260" t="s">
        <v>683</v>
      </c>
    </row>
    <row r="261" ht="12.75">
      <c r="B261" t="s">
        <v>685</v>
      </c>
    </row>
    <row r="262" ht="12.75">
      <c r="B262" t="s">
        <v>1185</v>
      </c>
    </row>
    <row r="264" spans="1:10" ht="12.75">
      <c r="A264" s="24" t="s">
        <v>772</v>
      </c>
      <c r="B264" t="s">
        <v>754</v>
      </c>
      <c r="J264" t="s">
        <v>773</v>
      </c>
    </row>
    <row r="265" spans="1:10" ht="12.75">
      <c r="A265" t="s">
        <v>765</v>
      </c>
      <c r="J265" t="s">
        <v>774</v>
      </c>
    </row>
    <row r="266" spans="1:10" ht="12.75">
      <c r="A266" t="s">
        <v>766</v>
      </c>
      <c r="B266" t="s">
        <v>755</v>
      </c>
      <c r="J266" t="s">
        <v>775</v>
      </c>
    </row>
    <row r="267" spans="1:2" ht="12.75">
      <c r="A267" t="s">
        <v>767</v>
      </c>
      <c r="B267" t="s">
        <v>756</v>
      </c>
    </row>
    <row r="268" spans="1:2" ht="12.75">
      <c r="A268" t="s">
        <v>768</v>
      </c>
      <c r="B268" t="s">
        <v>757</v>
      </c>
    </row>
    <row r="269" spans="1:2" ht="12.75">
      <c r="A269" t="s">
        <v>769</v>
      </c>
      <c r="B269" t="s">
        <v>758</v>
      </c>
    </row>
    <row r="270" spans="1:2" ht="12.75">
      <c r="A270" t="s">
        <v>770</v>
      </c>
      <c r="B270" t="s">
        <v>759</v>
      </c>
    </row>
    <row r="271" spans="1:2" ht="12.75">
      <c r="A271" t="s">
        <v>771</v>
      </c>
      <c r="B271" t="s">
        <v>761</v>
      </c>
    </row>
    <row r="272" ht="12.75">
      <c r="B272" t="s">
        <v>762</v>
      </c>
    </row>
    <row r="273" ht="12.75">
      <c r="B273" t="s">
        <v>763</v>
      </c>
    </row>
    <row r="274" ht="12.75">
      <c r="B274" t="s">
        <v>764</v>
      </c>
    </row>
    <row r="277" ht="12.75">
      <c r="A277" t="s">
        <v>114</v>
      </c>
    </row>
    <row r="278" spans="1:3" ht="12.75">
      <c r="A278" s="55">
        <v>43676</v>
      </c>
      <c r="C278" t="s">
        <v>459</v>
      </c>
    </row>
    <row r="279" ht="12.75">
      <c r="C279" t="s">
        <v>460</v>
      </c>
    </row>
    <row r="280" ht="12.75">
      <c r="C280" t="s">
        <v>461</v>
      </c>
    </row>
    <row r="282" spans="1:3" ht="12.75">
      <c r="A282" s="55">
        <v>43591</v>
      </c>
      <c r="C282" t="s">
        <v>115</v>
      </c>
    </row>
    <row r="308" ht="12.75">
      <c r="A308" t="s">
        <v>20</v>
      </c>
    </row>
  </sheetData>
  <sheetProtection/>
  <conditionalFormatting sqref="G36:M36">
    <cfRule type="expression" priority="1" dxfId="0" stopIfTrue="1">
      <formula>G32&lt;=$O$17</formula>
    </cfRule>
    <cfRule type="expression" priority="2" dxfId="4" stopIfTrue="1">
      <formula>G32&gt;$O$17</formula>
    </cfRule>
  </conditionalFormatting>
  <conditionalFormatting sqref="G65:M65">
    <cfRule type="expression" priority="3" dxfId="0" stopIfTrue="1">
      <formula>G32&lt;=$O$17</formula>
    </cfRule>
    <cfRule type="expression" priority="4" dxfId="4" stopIfTrue="1">
      <formula>G32&gt;$O$17</formula>
    </cfRule>
  </conditionalFormatting>
  <conditionalFormatting sqref="H182:N182">
    <cfRule type="cellIs" priority="5" dxfId="4" operator="greaterThan" stopIfTrue="1">
      <formula>$O$26</formula>
    </cfRule>
  </conditionalFormatting>
  <conditionalFormatting sqref="G184:M184 G186:M186">
    <cfRule type="cellIs" priority="6" dxfId="5" operator="lessThanOrEqual" stopIfTrue="1">
      <formula>$T$187</formula>
    </cfRule>
    <cfRule type="cellIs" priority="7" dxfId="10" operator="greaterThan" stopIfTrue="1">
      <formula>$T$187</formula>
    </cfRule>
  </conditionalFormatting>
  <conditionalFormatting sqref="G185:M185 G187:M187">
    <cfRule type="cellIs" priority="8" dxfId="5" operator="lessThanOrEqual" stopIfTrue="1">
      <formula>$T$188</formula>
    </cfRule>
    <cfRule type="cellIs" priority="9" dxfId="10" operator="greaterThan" stopIfTrue="1">
      <formula>$T$188</formula>
    </cfRule>
  </conditionalFormatting>
  <conditionalFormatting sqref="G63:M64">
    <cfRule type="cellIs" priority="10" dxfId="0" operator="lessThan" stopIfTrue="1">
      <formula>24</formula>
    </cfRule>
    <cfRule type="cellIs" priority="11" dxfId="4" operator="greaterThanOrEqual" stopIfTrue="1">
      <formula>24</formula>
    </cfRule>
  </conditionalFormatting>
  <conditionalFormatting sqref="G62:M62">
    <cfRule type="cellIs" priority="12" dxfId="0" operator="lessThanOrEqual" stopIfTrue="1">
      <formula>$O$27</formula>
    </cfRule>
    <cfRule type="cellIs" priority="13" dxfId="4" operator="greaterThan" stopIfTrue="1">
      <formula>$O$27</formula>
    </cfRule>
  </conditionalFormatting>
  <conditionalFormatting sqref="G40:M41 G44:M45 G48:M49 G52:M53 G60:M61 G56:M57">
    <cfRule type="cellIs" priority="14" dxfId="0" operator="lessThanOrEqual" stopIfTrue="1">
      <formula>$O$27</formula>
    </cfRule>
    <cfRule type="cellIs" priority="15" dxfId="12" operator="greaterThan" stopIfTrue="1">
      <formula>$O$27</formula>
    </cfRule>
  </conditionalFormatting>
  <conditionalFormatting sqref="G42:M43 G46:M47 G50:M51 G54:M55 G58:M59 G38:M39">
    <cfRule type="cellIs" priority="16" dxfId="0" operator="lessThanOrEqual" stopIfTrue="1">
      <formula>$O$26</formula>
    </cfRule>
    <cfRule type="cellIs" priority="17" dxfId="10" operator="greaterThan" stopIfTrue="1">
      <formula>$O$26</formula>
    </cfRule>
  </conditionalFormatting>
  <conditionalFormatting sqref="G32:M32">
    <cfRule type="cellIs" priority="18" dxfId="4" operator="greaterThan" stopIfTrue="1">
      <formula>$O$17</formula>
    </cfRule>
    <cfRule type="cellIs" priority="19" dxfId="5" operator="lessThanOrEqual" stopIfTrue="1">
      <formula>$O$17</formula>
    </cfRule>
  </conditionalFormatting>
  <conditionalFormatting sqref="B31">
    <cfRule type="cellIs" priority="20" dxfId="4" operator="greaterThan" stopIfTrue="1">
      <formula>$O$19</formula>
    </cfRule>
  </conditionalFormatting>
  <conditionalFormatting sqref="G33:M33">
    <cfRule type="cellIs" priority="21" dxfId="4" operator="greaterThan" stopIfTrue="1">
      <formula>$E$33</formula>
    </cfRule>
  </conditionalFormatting>
  <conditionalFormatting sqref="G34:M34">
    <cfRule type="cellIs" priority="22" dxfId="5" operator="lessThanOrEqual" stopIfTrue="1">
      <formula>20</formula>
    </cfRule>
    <cfRule type="cellIs" priority="23" dxfId="4" operator="between" stopIfTrue="1">
      <formula>50</formula>
      <formula>80</formula>
    </cfRule>
    <cfRule type="cellIs" priority="24" dxfId="3" operator="greaterThan" stopIfTrue="1">
      <formula>80</formula>
    </cfRule>
  </conditionalFormatting>
  <conditionalFormatting sqref="E38 E42 E46 E50 E54 E58">
    <cfRule type="cellIs" priority="25" dxfId="0" operator="greaterThanOrEqual" stopIfTrue="1">
      <formula>$T$26</formula>
    </cfRule>
  </conditionalFormatting>
  <conditionalFormatting sqref="E40 E44 E48 E52 E56 E60 F41 F45 F49 F53 F57 F61">
    <cfRule type="cellIs" priority="26" dxfId="0" operator="greaterThanOrEqual" stopIfTrue="1">
      <formula>$T$27</formula>
    </cfRule>
  </conditionalFormatting>
  <conditionalFormatting sqref="F39 F43 F47 F51 F55 F59">
    <cfRule type="cellIs" priority="27" dxfId="0" operator="greaterThanOrEqual" stopIfTrue="1">
      <formula>$T$26</formula>
    </cfRule>
  </conditionalFormatting>
  <hyperlinks>
    <hyperlink ref="M145" r:id="rId1" display="http://www.solarelectricityhandbook.com/solar-irradiance.aspx"/>
  </hyperlinks>
  <printOptions/>
  <pageMargins left="0.75" right="0.75" top="1" bottom="1" header="0.5" footer="0.5"/>
  <pageSetup orientation="portrait" r:id="rId2"/>
</worksheet>
</file>

<file path=xl/worksheets/sheet5.xml><?xml version="1.0" encoding="utf-8"?>
<worksheet xmlns="http://schemas.openxmlformats.org/spreadsheetml/2006/main" xmlns:r="http://schemas.openxmlformats.org/officeDocument/2006/relationships">
  <dimension ref="A1:V274"/>
  <sheetViews>
    <sheetView zoomScalePageLayoutView="0" workbookViewId="0" topLeftCell="A1">
      <pane ySplit="3" topLeftCell="A4" activePane="bottomLeft" state="frozen"/>
      <selection pane="topLeft" activeCell="A1" sqref="A1"/>
      <selection pane="bottomLeft" activeCell="D21" sqref="D21"/>
    </sheetView>
  </sheetViews>
  <sheetFormatPr defaultColWidth="9.140625" defaultRowHeight="12.75"/>
  <cols>
    <col min="1" max="1" width="19.00390625" style="0" customWidth="1"/>
    <col min="2" max="2" width="6.28125" style="0" customWidth="1"/>
    <col min="3" max="3" width="8.140625" style="0" customWidth="1"/>
    <col min="5" max="5" width="7.7109375" style="0" customWidth="1"/>
    <col min="6" max="6" width="7.28125" style="0" customWidth="1"/>
    <col min="7" max="7" width="7.00390625" style="0" customWidth="1"/>
    <col min="14" max="14" width="5.57421875" style="0" customWidth="1"/>
    <col min="15" max="15" width="6.28125" style="0" customWidth="1"/>
    <col min="16" max="16" width="6.57421875" style="0" customWidth="1"/>
    <col min="17" max="17" width="6.8515625" style="0" customWidth="1"/>
    <col min="18" max="18" width="6.140625" style="0" customWidth="1"/>
    <col min="19" max="19" width="10.140625" style="0" customWidth="1"/>
    <col min="20" max="20" width="4.7109375" style="0" customWidth="1"/>
    <col min="21" max="21" width="5.28125" style="0" customWidth="1"/>
  </cols>
  <sheetData>
    <row r="1" spans="1:7" ht="12.75">
      <c r="A1" s="50" t="s">
        <v>676</v>
      </c>
      <c r="G1" s="8" t="s">
        <v>1047</v>
      </c>
    </row>
    <row r="2" spans="1:22" ht="28.5" customHeight="1">
      <c r="A2" s="18" t="s">
        <v>1078</v>
      </c>
      <c r="B2" s="18" t="s">
        <v>1079</v>
      </c>
      <c r="C2" s="18" t="s">
        <v>1043</v>
      </c>
      <c r="D2" s="18" t="s">
        <v>1044</v>
      </c>
      <c r="E2" s="18" t="s">
        <v>1045</v>
      </c>
      <c r="F2" s="18" t="s">
        <v>425</v>
      </c>
      <c r="G2" s="18" t="s">
        <v>1038</v>
      </c>
      <c r="H2" s="18" t="s">
        <v>1039</v>
      </c>
      <c r="I2" s="18" t="s">
        <v>1040</v>
      </c>
      <c r="J2" s="18" t="s">
        <v>1041</v>
      </c>
      <c r="K2" s="18" t="s">
        <v>967</v>
      </c>
      <c r="L2" s="18" t="s">
        <v>968</v>
      </c>
      <c r="M2" s="18" t="s">
        <v>1042</v>
      </c>
      <c r="N2" s="59" t="s">
        <v>1062</v>
      </c>
      <c r="O2" s="58"/>
      <c r="P2" s="58"/>
      <c r="Q2" s="58"/>
      <c r="R2" s="58"/>
      <c r="S2" s="57"/>
      <c r="T2" s="57"/>
      <c r="U2" s="57"/>
      <c r="V2" s="57"/>
    </row>
    <row r="3" spans="1:14" ht="12.75">
      <c r="A3" s="18" t="s">
        <v>1020</v>
      </c>
      <c r="B3" s="18"/>
      <c r="C3" s="18"/>
      <c r="D3" s="18"/>
      <c r="E3" s="18"/>
      <c r="F3" s="18"/>
      <c r="G3" s="44">
        <v>8</v>
      </c>
      <c r="H3" s="18"/>
      <c r="I3" s="18"/>
      <c r="J3" s="18"/>
      <c r="K3" s="18"/>
      <c r="L3" s="18"/>
      <c r="M3" s="44">
        <v>7</v>
      </c>
      <c r="N3" s="60" t="s">
        <v>1063</v>
      </c>
    </row>
    <row r="4" spans="1:15" ht="12.75">
      <c r="A4" s="20" t="s">
        <v>402</v>
      </c>
      <c r="C4" s="2">
        <f aca="true" t="shared" si="0" ref="C4:C9">B4/($O$18/100)/12</f>
        <v>0</v>
      </c>
      <c r="D4" s="2">
        <v>5.4</v>
      </c>
      <c r="E4" s="2">
        <f aca="true" t="shared" si="1" ref="E4:E30">C4*D4</f>
        <v>0</v>
      </c>
      <c r="F4" s="4">
        <f aca="true" t="shared" si="2" ref="F4:F9">(B4*D4)/0.9</f>
        <v>0</v>
      </c>
      <c r="G4" s="2">
        <f aca="true" t="shared" si="3" ref="G4:G30">J4*(G$3/24)</f>
        <v>0</v>
      </c>
      <c r="H4" s="2">
        <f aca="true" t="shared" si="4" ref="H4:H30">J4*0.5</f>
        <v>0</v>
      </c>
      <c r="I4" s="2">
        <f aca="true" t="shared" si="5" ref="I4:I30">J4*0.67</f>
        <v>0</v>
      </c>
      <c r="J4" s="2">
        <f aca="true" t="shared" si="6" ref="J4:J30">E4*2</f>
        <v>0</v>
      </c>
      <c r="K4" s="2">
        <f aca="true" t="shared" si="7" ref="K4:K30">J4*2</f>
        <v>0</v>
      </c>
      <c r="L4" s="2">
        <f aca="true" t="shared" si="8" ref="L4:L30">J4*3</f>
        <v>0</v>
      </c>
      <c r="M4" s="2">
        <f aca="true" t="shared" si="9" ref="M4:M30">J4*M$3</f>
        <v>0</v>
      </c>
      <c r="O4" s="8" t="s">
        <v>295</v>
      </c>
    </row>
    <row r="5" spans="1:15" ht="12.75">
      <c r="A5" s="27" t="s">
        <v>1109</v>
      </c>
      <c r="C5" s="2">
        <f t="shared" si="0"/>
        <v>0</v>
      </c>
      <c r="D5" s="2">
        <v>24</v>
      </c>
      <c r="E5" s="2">
        <f t="shared" si="1"/>
        <v>0</v>
      </c>
      <c r="F5" s="4">
        <f t="shared" si="2"/>
        <v>0</v>
      </c>
      <c r="G5" s="2">
        <f t="shared" si="3"/>
        <v>0</v>
      </c>
      <c r="H5" s="2">
        <f t="shared" si="4"/>
        <v>0</v>
      </c>
      <c r="I5" s="2">
        <f t="shared" si="5"/>
        <v>0</v>
      </c>
      <c r="J5" s="2">
        <f t="shared" si="6"/>
        <v>0</v>
      </c>
      <c r="K5" s="2">
        <f t="shared" si="7"/>
        <v>0</v>
      </c>
      <c r="L5" s="2">
        <f t="shared" si="8"/>
        <v>0</v>
      </c>
      <c r="M5" s="2">
        <f t="shared" si="9"/>
        <v>0</v>
      </c>
      <c r="O5" s="8" t="s">
        <v>297</v>
      </c>
    </row>
    <row r="6" spans="1:15" ht="12.75">
      <c r="A6" t="s">
        <v>646</v>
      </c>
      <c r="C6" s="2">
        <f t="shared" si="0"/>
        <v>0</v>
      </c>
      <c r="D6" s="2">
        <v>24</v>
      </c>
      <c r="E6" s="2">
        <f t="shared" si="1"/>
        <v>0</v>
      </c>
      <c r="F6" s="4">
        <f t="shared" si="2"/>
        <v>0</v>
      </c>
      <c r="G6" s="2">
        <f t="shared" si="3"/>
        <v>0</v>
      </c>
      <c r="H6" s="2">
        <f t="shared" si="4"/>
        <v>0</v>
      </c>
      <c r="I6" s="2">
        <f t="shared" si="5"/>
        <v>0</v>
      </c>
      <c r="J6" s="2">
        <f t="shared" si="6"/>
        <v>0</v>
      </c>
      <c r="K6" s="2">
        <f t="shared" si="7"/>
        <v>0</v>
      </c>
      <c r="L6" s="2">
        <f t="shared" si="8"/>
        <v>0</v>
      </c>
      <c r="M6" s="2">
        <f t="shared" si="9"/>
        <v>0</v>
      </c>
      <c r="O6" s="8" t="s">
        <v>103</v>
      </c>
    </row>
    <row r="7" spans="1:15" ht="12.75">
      <c r="A7" s="28" t="s">
        <v>456</v>
      </c>
      <c r="B7">
        <v>14</v>
      </c>
      <c r="C7" s="2">
        <f t="shared" si="0"/>
        <v>1.2962962962962963</v>
      </c>
      <c r="D7" s="2">
        <v>24</v>
      </c>
      <c r="E7" s="2">
        <f t="shared" si="1"/>
        <v>31.11111111111111</v>
      </c>
      <c r="F7" s="4">
        <f t="shared" si="2"/>
        <v>373.3333333333333</v>
      </c>
      <c r="G7" s="2">
        <f t="shared" si="3"/>
        <v>20.74074074074074</v>
      </c>
      <c r="H7" s="2">
        <f t="shared" si="4"/>
        <v>31.11111111111111</v>
      </c>
      <c r="I7" s="2">
        <f t="shared" si="5"/>
        <v>41.68888888888889</v>
      </c>
      <c r="J7" s="2">
        <f t="shared" si="6"/>
        <v>62.22222222222222</v>
      </c>
      <c r="K7" s="2">
        <f t="shared" si="7"/>
        <v>124.44444444444444</v>
      </c>
      <c r="L7" s="2">
        <f t="shared" si="8"/>
        <v>186.66666666666666</v>
      </c>
      <c r="M7" s="2">
        <f t="shared" si="9"/>
        <v>435.55555555555554</v>
      </c>
      <c r="O7" s="8" t="s">
        <v>104</v>
      </c>
    </row>
    <row r="8" spans="1:15" ht="12.75">
      <c r="A8" t="s">
        <v>891</v>
      </c>
      <c r="B8">
        <v>16</v>
      </c>
      <c r="C8" s="2">
        <f t="shared" si="0"/>
        <v>1.4814814814814816</v>
      </c>
      <c r="D8" s="2">
        <v>24</v>
      </c>
      <c r="E8" s="2">
        <f t="shared" si="1"/>
        <v>35.55555555555556</v>
      </c>
      <c r="F8" s="4">
        <f t="shared" si="2"/>
        <v>426.66666666666663</v>
      </c>
      <c r="G8" s="2">
        <f t="shared" si="3"/>
        <v>23.703703703703702</v>
      </c>
      <c r="H8" s="2">
        <f t="shared" si="4"/>
        <v>35.55555555555556</v>
      </c>
      <c r="I8" s="2">
        <f t="shared" si="5"/>
        <v>47.64444444444445</v>
      </c>
      <c r="J8" s="2">
        <f t="shared" si="6"/>
        <v>71.11111111111111</v>
      </c>
      <c r="K8" s="2">
        <f t="shared" si="7"/>
        <v>142.22222222222223</v>
      </c>
      <c r="L8" s="2">
        <f t="shared" si="8"/>
        <v>213.33333333333334</v>
      </c>
      <c r="M8" s="2">
        <f t="shared" si="9"/>
        <v>497.7777777777778</v>
      </c>
      <c r="O8" s="8" t="s">
        <v>105</v>
      </c>
    </row>
    <row r="9" spans="1:15" ht="12.75">
      <c r="A9" t="s">
        <v>894</v>
      </c>
      <c r="B9">
        <v>20</v>
      </c>
      <c r="C9" s="2">
        <f t="shared" si="0"/>
        <v>1.8518518518518519</v>
      </c>
      <c r="D9" s="2">
        <v>4</v>
      </c>
      <c r="E9" s="2">
        <f t="shared" si="1"/>
        <v>7.407407407407407</v>
      </c>
      <c r="F9" s="4">
        <f t="shared" si="2"/>
        <v>88.88888888888889</v>
      </c>
      <c r="G9" s="2">
        <f t="shared" si="3"/>
        <v>4.938271604938271</v>
      </c>
      <c r="H9" s="2">
        <f t="shared" si="4"/>
        <v>7.407407407407407</v>
      </c>
      <c r="I9" s="2">
        <f t="shared" si="5"/>
        <v>9.925925925925927</v>
      </c>
      <c r="J9" s="2">
        <f t="shared" si="6"/>
        <v>14.814814814814815</v>
      </c>
      <c r="K9" s="2">
        <f t="shared" si="7"/>
        <v>29.62962962962963</v>
      </c>
      <c r="L9" s="2">
        <f t="shared" si="8"/>
        <v>44.44444444444444</v>
      </c>
      <c r="M9" s="2">
        <f t="shared" si="9"/>
        <v>103.70370370370371</v>
      </c>
      <c r="O9" s="8" t="s">
        <v>106</v>
      </c>
    </row>
    <row r="10" spans="1:15" ht="12.75">
      <c r="A10" s="28" t="s">
        <v>398</v>
      </c>
      <c r="B10" t="s">
        <v>1084</v>
      </c>
      <c r="C10" s="49">
        <f>IF(B31&gt;80,MAX(0,(1-B31/400)*O20),O20)</f>
        <v>0.4375</v>
      </c>
      <c r="D10" s="2">
        <v>24</v>
      </c>
      <c r="E10" s="2">
        <f t="shared" si="1"/>
        <v>10.5</v>
      </c>
      <c r="F10" s="4">
        <f>E10*12.6</f>
        <v>132.29999999999998</v>
      </c>
      <c r="G10" s="2">
        <f t="shared" si="3"/>
        <v>7</v>
      </c>
      <c r="H10" s="2">
        <f t="shared" si="4"/>
        <v>10.5</v>
      </c>
      <c r="I10" s="2">
        <f t="shared" si="5"/>
        <v>14.07</v>
      </c>
      <c r="J10" s="2">
        <f t="shared" si="6"/>
        <v>21</v>
      </c>
      <c r="K10" s="2">
        <f t="shared" si="7"/>
        <v>42</v>
      </c>
      <c r="L10" s="2">
        <f t="shared" si="8"/>
        <v>63</v>
      </c>
      <c r="M10" s="2">
        <f t="shared" si="9"/>
        <v>147</v>
      </c>
      <c r="O10" s="8" t="s">
        <v>107</v>
      </c>
    </row>
    <row r="11" spans="1:15" ht="12.75">
      <c r="A11" t="s">
        <v>250</v>
      </c>
      <c r="B11" t="s">
        <v>1084</v>
      </c>
      <c r="C11" s="2"/>
      <c r="D11" s="2">
        <v>24</v>
      </c>
      <c r="E11" s="2">
        <f t="shared" si="1"/>
        <v>0</v>
      </c>
      <c r="F11" s="4">
        <f>IF(B11&lt;&gt;"n/a",((B11*D11)/0.9),E11*12.6)</f>
        <v>0</v>
      </c>
      <c r="G11" s="2">
        <f t="shared" si="3"/>
        <v>0</v>
      </c>
      <c r="H11" s="2">
        <f t="shared" si="4"/>
        <v>0</v>
      </c>
      <c r="I11" s="2">
        <f t="shared" si="5"/>
        <v>0</v>
      </c>
      <c r="J11" s="2">
        <f t="shared" si="6"/>
        <v>0</v>
      </c>
      <c r="K11" s="2">
        <f t="shared" si="7"/>
        <v>0</v>
      </c>
      <c r="L11" s="2">
        <f t="shared" si="8"/>
        <v>0</v>
      </c>
      <c r="M11" s="2">
        <f t="shared" si="9"/>
        <v>0</v>
      </c>
      <c r="O11" s="8" t="s">
        <v>108</v>
      </c>
    </row>
    <row r="12" spans="1:15" ht="12.75">
      <c r="A12" s="27" t="s">
        <v>524</v>
      </c>
      <c r="C12" s="2">
        <f aca="true" t="shared" si="10" ref="C12:C25">B12/($O$18/100)/12</f>
        <v>0</v>
      </c>
      <c r="D12" s="2">
        <v>12</v>
      </c>
      <c r="E12" s="2">
        <f t="shared" si="1"/>
        <v>0</v>
      </c>
      <c r="F12" s="4">
        <f aca="true" t="shared" si="11" ref="F12:F25">(B12*D12)/0.9</f>
        <v>0</v>
      </c>
      <c r="G12" s="2">
        <f t="shared" si="3"/>
        <v>0</v>
      </c>
      <c r="H12" s="2">
        <f t="shared" si="4"/>
        <v>0</v>
      </c>
      <c r="I12" s="2">
        <f t="shared" si="5"/>
        <v>0</v>
      </c>
      <c r="J12" s="2">
        <f t="shared" si="6"/>
        <v>0</v>
      </c>
      <c r="K12" s="2">
        <f t="shared" si="7"/>
        <v>0</v>
      </c>
      <c r="L12" s="2">
        <f t="shared" si="8"/>
        <v>0</v>
      </c>
      <c r="M12" s="2">
        <f t="shared" si="9"/>
        <v>0</v>
      </c>
      <c r="O12" s="8" t="s">
        <v>110</v>
      </c>
    </row>
    <row r="13" spans="1:15" ht="12.75">
      <c r="A13" t="s">
        <v>1119</v>
      </c>
      <c r="B13">
        <v>100</v>
      </c>
      <c r="C13" s="2">
        <f t="shared" si="10"/>
        <v>9.25925925925926</v>
      </c>
      <c r="D13" s="2">
        <v>4</v>
      </c>
      <c r="E13" s="2">
        <f t="shared" si="1"/>
        <v>37.03703703703704</v>
      </c>
      <c r="F13" s="4">
        <f t="shared" si="11"/>
        <v>444.44444444444446</v>
      </c>
      <c r="G13" s="2">
        <f t="shared" si="3"/>
        <v>24.691358024691358</v>
      </c>
      <c r="H13" s="2">
        <f t="shared" si="4"/>
        <v>37.03703703703704</v>
      </c>
      <c r="I13" s="2">
        <f t="shared" si="5"/>
        <v>49.62962962962963</v>
      </c>
      <c r="J13" s="2">
        <f t="shared" si="6"/>
        <v>74.07407407407408</v>
      </c>
      <c r="K13" s="2">
        <f t="shared" si="7"/>
        <v>148.14814814814815</v>
      </c>
      <c r="L13" s="2">
        <f t="shared" si="8"/>
        <v>222.22222222222223</v>
      </c>
      <c r="M13" s="2">
        <f t="shared" si="9"/>
        <v>518.5185185185185</v>
      </c>
      <c r="O13" s="8" t="s">
        <v>122</v>
      </c>
    </row>
    <row r="14" spans="1:15" ht="12.75">
      <c r="A14" s="27" t="s">
        <v>168</v>
      </c>
      <c r="C14" s="2">
        <f t="shared" si="10"/>
        <v>0</v>
      </c>
      <c r="D14" s="2">
        <v>6</v>
      </c>
      <c r="E14" s="2">
        <f t="shared" si="1"/>
        <v>0</v>
      </c>
      <c r="F14" s="4">
        <f t="shared" si="11"/>
        <v>0</v>
      </c>
      <c r="G14" s="2">
        <f t="shared" si="3"/>
        <v>0</v>
      </c>
      <c r="H14" s="2">
        <f t="shared" si="4"/>
        <v>0</v>
      </c>
      <c r="I14" s="2">
        <f t="shared" si="5"/>
        <v>0</v>
      </c>
      <c r="J14" s="2">
        <f t="shared" si="6"/>
        <v>0</v>
      </c>
      <c r="K14" s="2">
        <f t="shared" si="7"/>
        <v>0</v>
      </c>
      <c r="L14" s="2">
        <f t="shared" si="8"/>
        <v>0</v>
      </c>
      <c r="M14" s="2">
        <f t="shared" si="9"/>
        <v>0</v>
      </c>
      <c r="O14" s="8" t="s">
        <v>294</v>
      </c>
    </row>
    <row r="15" spans="1:15" ht="12.75">
      <c r="A15" s="27" t="s">
        <v>169</v>
      </c>
      <c r="C15" s="2">
        <f t="shared" si="10"/>
        <v>0</v>
      </c>
      <c r="D15" s="2">
        <v>24</v>
      </c>
      <c r="E15" s="2">
        <f t="shared" si="1"/>
        <v>0</v>
      </c>
      <c r="F15" s="4">
        <f t="shared" si="11"/>
        <v>0</v>
      </c>
      <c r="G15" s="2">
        <f t="shared" si="3"/>
        <v>0</v>
      </c>
      <c r="H15" s="2">
        <f t="shared" si="4"/>
        <v>0</v>
      </c>
      <c r="I15" s="2">
        <f t="shared" si="5"/>
        <v>0</v>
      </c>
      <c r="J15" s="2">
        <f t="shared" si="6"/>
        <v>0</v>
      </c>
      <c r="K15" s="2">
        <f t="shared" si="7"/>
        <v>0</v>
      </c>
      <c r="L15" s="2">
        <f t="shared" si="8"/>
        <v>0</v>
      </c>
      <c r="M15" s="2">
        <f t="shared" si="9"/>
        <v>0</v>
      </c>
      <c r="O15" s="8" t="s">
        <v>298</v>
      </c>
    </row>
    <row r="16" spans="1:13" ht="12.75">
      <c r="A16" t="s">
        <v>58</v>
      </c>
      <c r="C16" s="2">
        <f t="shared" si="10"/>
        <v>0</v>
      </c>
      <c r="D16" s="2">
        <v>24</v>
      </c>
      <c r="E16" s="2">
        <f t="shared" si="1"/>
        <v>0</v>
      </c>
      <c r="F16" s="4">
        <f t="shared" si="11"/>
        <v>0</v>
      </c>
      <c r="G16" s="2">
        <f t="shared" si="3"/>
        <v>0</v>
      </c>
      <c r="H16" s="2">
        <f t="shared" si="4"/>
        <v>0</v>
      </c>
      <c r="I16" s="2">
        <f t="shared" si="5"/>
        <v>0</v>
      </c>
      <c r="J16" s="2">
        <f t="shared" si="6"/>
        <v>0</v>
      </c>
      <c r="K16" s="2">
        <f t="shared" si="7"/>
        <v>0</v>
      </c>
      <c r="L16" s="2">
        <f t="shared" si="8"/>
        <v>0</v>
      </c>
      <c r="M16" s="2">
        <f t="shared" si="9"/>
        <v>0</v>
      </c>
    </row>
    <row r="17" spans="1:21" ht="12.75">
      <c r="A17" t="s">
        <v>1102</v>
      </c>
      <c r="C17" s="2">
        <f t="shared" si="10"/>
        <v>0</v>
      </c>
      <c r="D17" s="2">
        <v>0.5</v>
      </c>
      <c r="E17" s="2">
        <f t="shared" si="1"/>
        <v>0</v>
      </c>
      <c r="F17" s="4">
        <f t="shared" si="11"/>
        <v>0</v>
      </c>
      <c r="G17" s="2">
        <f t="shared" si="3"/>
        <v>0</v>
      </c>
      <c r="H17" s="2">
        <f t="shared" si="4"/>
        <v>0</v>
      </c>
      <c r="I17" s="2">
        <f t="shared" si="5"/>
        <v>0</v>
      </c>
      <c r="J17" s="2">
        <f t="shared" si="6"/>
        <v>0</v>
      </c>
      <c r="K17" s="2">
        <f t="shared" si="7"/>
        <v>0</v>
      </c>
      <c r="L17" s="2">
        <f t="shared" si="8"/>
        <v>0</v>
      </c>
      <c r="M17" s="2">
        <f t="shared" si="9"/>
        <v>0</v>
      </c>
      <c r="O17" s="13">
        <v>180</v>
      </c>
      <c r="P17" s="12" t="s">
        <v>1145</v>
      </c>
      <c r="U17" s="40"/>
    </row>
    <row r="18" spans="1:20" ht="12.75">
      <c r="A18" t="s">
        <v>60</v>
      </c>
      <c r="C18" s="2">
        <f t="shared" si="10"/>
        <v>0</v>
      </c>
      <c r="D18" s="2">
        <v>24</v>
      </c>
      <c r="E18" s="2">
        <f t="shared" si="1"/>
        <v>0</v>
      </c>
      <c r="F18" s="4">
        <f t="shared" si="11"/>
        <v>0</v>
      </c>
      <c r="G18" s="2">
        <f t="shared" si="3"/>
        <v>0</v>
      </c>
      <c r="H18" s="2">
        <f t="shared" si="4"/>
        <v>0</v>
      </c>
      <c r="I18" s="2">
        <f t="shared" si="5"/>
        <v>0</v>
      </c>
      <c r="J18" s="2">
        <f t="shared" si="6"/>
        <v>0</v>
      </c>
      <c r="K18" s="2">
        <f t="shared" si="7"/>
        <v>0</v>
      </c>
      <c r="L18" s="2">
        <f t="shared" si="8"/>
        <v>0</v>
      </c>
      <c r="M18" s="2">
        <f t="shared" si="9"/>
        <v>0</v>
      </c>
      <c r="O18" s="13">
        <v>90</v>
      </c>
      <c r="P18" s="12" t="s">
        <v>66</v>
      </c>
      <c r="T18" t="s">
        <v>111</v>
      </c>
    </row>
    <row r="19" spans="1:16" ht="12.75">
      <c r="A19" t="s">
        <v>1103</v>
      </c>
      <c r="C19" s="2">
        <f t="shared" si="10"/>
        <v>0</v>
      </c>
      <c r="D19" s="2">
        <v>0.1</v>
      </c>
      <c r="E19" s="2">
        <f t="shared" si="1"/>
        <v>0</v>
      </c>
      <c r="F19" s="4">
        <f t="shared" si="11"/>
        <v>0</v>
      </c>
      <c r="G19" s="2">
        <f t="shared" si="3"/>
        <v>0</v>
      </c>
      <c r="H19" s="2">
        <f t="shared" si="4"/>
        <v>0</v>
      </c>
      <c r="I19" s="2">
        <f t="shared" si="5"/>
        <v>0</v>
      </c>
      <c r="J19" s="2">
        <f t="shared" si="6"/>
        <v>0</v>
      </c>
      <c r="K19" s="2">
        <f t="shared" si="7"/>
        <v>0</v>
      </c>
      <c r="L19" s="2">
        <f t="shared" si="8"/>
        <v>0</v>
      </c>
      <c r="M19" s="2">
        <f t="shared" si="9"/>
        <v>0</v>
      </c>
      <c r="O19" s="13">
        <v>500</v>
      </c>
      <c r="P19" s="8" t="s">
        <v>67</v>
      </c>
    </row>
    <row r="20" spans="1:16" ht="12.75">
      <c r="A20" t="s">
        <v>693</v>
      </c>
      <c r="C20" s="2">
        <f t="shared" si="10"/>
        <v>0</v>
      </c>
      <c r="D20" s="2">
        <v>24</v>
      </c>
      <c r="E20" s="2">
        <f t="shared" si="1"/>
        <v>0</v>
      </c>
      <c r="F20" s="4">
        <f t="shared" si="11"/>
        <v>0</v>
      </c>
      <c r="G20" s="2">
        <f t="shared" si="3"/>
        <v>0</v>
      </c>
      <c r="H20" s="2">
        <f t="shared" si="4"/>
        <v>0</v>
      </c>
      <c r="I20" s="2">
        <f t="shared" si="5"/>
        <v>0</v>
      </c>
      <c r="J20" s="2">
        <f t="shared" si="6"/>
        <v>0</v>
      </c>
      <c r="K20" s="2">
        <f t="shared" si="7"/>
        <v>0</v>
      </c>
      <c r="L20" s="2">
        <f t="shared" si="8"/>
        <v>0</v>
      </c>
      <c r="M20" s="2">
        <f t="shared" si="9"/>
        <v>0</v>
      </c>
      <c r="O20" s="62">
        <v>0.7</v>
      </c>
      <c r="P20" s="8" t="s">
        <v>914</v>
      </c>
    </row>
    <row r="21" spans="1:16" ht="12.75">
      <c r="A21" t="s">
        <v>833</v>
      </c>
      <c r="C21" s="2">
        <f t="shared" si="10"/>
        <v>0</v>
      </c>
      <c r="D21" s="2">
        <f>NOCTRatings!D22</f>
        <v>2.52</v>
      </c>
      <c r="E21" s="2">
        <f t="shared" si="1"/>
        <v>0</v>
      </c>
      <c r="F21" s="4">
        <f t="shared" si="11"/>
        <v>0</v>
      </c>
      <c r="G21" s="2">
        <f t="shared" si="3"/>
        <v>0</v>
      </c>
      <c r="H21" s="2">
        <f t="shared" si="4"/>
        <v>0</v>
      </c>
      <c r="I21" s="2">
        <f t="shared" si="5"/>
        <v>0</v>
      </c>
      <c r="J21" s="2">
        <f t="shared" si="6"/>
        <v>0</v>
      </c>
      <c r="K21" s="2">
        <f t="shared" si="7"/>
        <v>0</v>
      </c>
      <c r="L21" s="2">
        <f t="shared" si="8"/>
        <v>0</v>
      </c>
      <c r="M21" s="2">
        <f t="shared" si="9"/>
        <v>0</v>
      </c>
      <c r="O21" s="7">
        <f>O17/2/J33</f>
        <v>0.7400639561443582</v>
      </c>
      <c r="P21" s="6" t="s">
        <v>881</v>
      </c>
    </row>
    <row r="22" spans="1:16" ht="12.75">
      <c r="A22" s="27" t="s">
        <v>1146</v>
      </c>
      <c r="C22" s="2">
        <f t="shared" si="10"/>
        <v>0</v>
      </c>
      <c r="D22" s="2">
        <v>2</v>
      </c>
      <c r="E22" s="2">
        <f t="shared" si="1"/>
        <v>0</v>
      </c>
      <c r="F22" s="4">
        <f t="shared" si="11"/>
        <v>0</v>
      </c>
      <c r="G22" s="2">
        <f t="shared" si="3"/>
        <v>0</v>
      </c>
      <c r="H22" s="2">
        <f t="shared" si="4"/>
        <v>0</v>
      </c>
      <c r="I22" s="2">
        <f t="shared" si="5"/>
        <v>0</v>
      </c>
      <c r="J22" s="2">
        <f t="shared" si="6"/>
        <v>0</v>
      </c>
      <c r="K22" s="2">
        <f t="shared" si="7"/>
        <v>0</v>
      </c>
      <c r="L22" s="2">
        <f t="shared" si="8"/>
        <v>0</v>
      </c>
      <c r="M22" s="2">
        <f t="shared" si="9"/>
        <v>0</v>
      </c>
      <c r="O22" s="5">
        <f>O21*24</f>
        <v>17.761534947464597</v>
      </c>
      <c r="P22" s="6" t="s">
        <v>882</v>
      </c>
    </row>
    <row r="23" spans="1:16" ht="12.75">
      <c r="A23" t="s">
        <v>162</v>
      </c>
      <c r="C23" s="2">
        <f t="shared" si="10"/>
        <v>0</v>
      </c>
      <c r="D23" s="2">
        <v>24</v>
      </c>
      <c r="E23" s="2">
        <f t="shared" si="1"/>
        <v>0</v>
      </c>
      <c r="F23" s="4">
        <f t="shared" si="11"/>
        <v>0</v>
      </c>
      <c r="G23" s="2">
        <f t="shared" si="3"/>
        <v>0</v>
      </c>
      <c r="H23" s="2">
        <f t="shared" si="4"/>
        <v>0</v>
      </c>
      <c r="I23" s="2">
        <f t="shared" si="5"/>
        <v>0</v>
      </c>
      <c r="J23" s="2">
        <f t="shared" si="6"/>
        <v>0</v>
      </c>
      <c r="K23" s="2">
        <f t="shared" si="7"/>
        <v>0</v>
      </c>
      <c r="L23" s="2">
        <f t="shared" si="8"/>
        <v>0</v>
      </c>
      <c r="M23" s="2">
        <f t="shared" si="9"/>
        <v>0</v>
      </c>
      <c r="O23" s="5">
        <f>J63</f>
        <v>2.1515811965811964</v>
      </c>
      <c r="P23" s="6" t="s">
        <v>243</v>
      </c>
    </row>
    <row r="24" spans="1:16" ht="12.75">
      <c r="A24" t="s">
        <v>164</v>
      </c>
      <c r="C24" s="2">
        <f t="shared" si="10"/>
        <v>0</v>
      </c>
      <c r="D24" s="2">
        <v>0.1</v>
      </c>
      <c r="E24" s="2">
        <f t="shared" si="1"/>
        <v>0</v>
      </c>
      <c r="F24" s="4">
        <f t="shared" si="11"/>
        <v>0</v>
      </c>
      <c r="G24" s="2">
        <f t="shared" si="3"/>
        <v>0</v>
      </c>
      <c r="H24" s="2">
        <f t="shared" si="4"/>
        <v>0</v>
      </c>
      <c r="I24" s="2">
        <f t="shared" si="5"/>
        <v>0</v>
      </c>
      <c r="J24" s="2">
        <f t="shared" si="6"/>
        <v>0</v>
      </c>
      <c r="K24" s="2">
        <f t="shared" si="7"/>
        <v>0</v>
      </c>
      <c r="L24" s="2">
        <f t="shared" si="8"/>
        <v>0</v>
      </c>
      <c r="M24" s="2">
        <f t="shared" si="9"/>
        <v>0</v>
      </c>
      <c r="P24" s="6" t="s">
        <v>947</v>
      </c>
    </row>
    <row r="25" spans="1:21" ht="12.75">
      <c r="A25" t="s">
        <v>1037</v>
      </c>
      <c r="C25" s="2">
        <f t="shared" si="10"/>
        <v>0</v>
      </c>
      <c r="D25" s="2">
        <v>24</v>
      </c>
      <c r="E25" s="2">
        <f t="shared" si="1"/>
        <v>0</v>
      </c>
      <c r="F25" s="4">
        <f t="shared" si="11"/>
        <v>0</v>
      </c>
      <c r="G25" s="2">
        <f t="shared" si="3"/>
        <v>0</v>
      </c>
      <c r="H25" s="2">
        <f t="shared" si="4"/>
        <v>0</v>
      </c>
      <c r="I25" s="2">
        <f t="shared" si="5"/>
        <v>0</v>
      </c>
      <c r="J25" s="2">
        <f t="shared" si="6"/>
        <v>0</v>
      </c>
      <c r="K25" s="2">
        <f t="shared" si="7"/>
        <v>0</v>
      </c>
      <c r="L25" s="2">
        <f t="shared" si="8"/>
        <v>0</v>
      </c>
      <c r="M25" s="2">
        <f t="shared" si="9"/>
        <v>0</v>
      </c>
      <c r="P25" s="6" t="s">
        <v>101</v>
      </c>
      <c r="T25" s="8" t="s">
        <v>102</v>
      </c>
      <c r="U25" s="8"/>
    </row>
    <row r="26" spans="1:16" ht="12.75">
      <c r="A26" s="36" t="s">
        <v>832</v>
      </c>
      <c r="B26" t="s">
        <v>1084</v>
      </c>
      <c r="C26" s="2"/>
      <c r="D26" s="2">
        <v>8</v>
      </c>
      <c r="E26" s="2">
        <f t="shared" si="1"/>
        <v>0</v>
      </c>
      <c r="F26" s="4">
        <f>IF(B26&lt;&gt;"n/a",((B26*D26)/0.9),E26*12.6)</f>
        <v>0</v>
      </c>
      <c r="G26" s="2">
        <f t="shared" si="3"/>
        <v>0</v>
      </c>
      <c r="H26" s="2">
        <f t="shared" si="4"/>
        <v>0</v>
      </c>
      <c r="I26" s="2">
        <f t="shared" si="5"/>
        <v>0</v>
      </c>
      <c r="J26" s="2">
        <f t="shared" si="6"/>
        <v>0</v>
      </c>
      <c r="K26" s="2">
        <f t="shared" si="7"/>
        <v>0</v>
      </c>
      <c r="L26" s="2">
        <f t="shared" si="8"/>
        <v>0</v>
      </c>
      <c r="M26" s="2">
        <f t="shared" si="9"/>
        <v>0</v>
      </c>
      <c r="O26" s="50">
        <v>3.34</v>
      </c>
      <c r="P26" s="6" t="s">
        <v>99</v>
      </c>
    </row>
    <row r="27" spans="1:16" ht="12.75">
      <c r="A27" t="s">
        <v>120</v>
      </c>
      <c r="C27" s="2"/>
      <c r="D27" s="2">
        <v>4</v>
      </c>
      <c r="E27" s="2">
        <f t="shared" si="1"/>
        <v>0</v>
      </c>
      <c r="F27" s="4">
        <f>IF(B27&lt;&gt;"n/a",((B27*D27)/0.9),E27*12.6)</f>
        <v>0</v>
      </c>
      <c r="G27" s="2">
        <f t="shared" si="3"/>
        <v>0</v>
      </c>
      <c r="H27" s="2">
        <f t="shared" si="4"/>
        <v>0</v>
      </c>
      <c r="I27" s="2">
        <f t="shared" si="5"/>
        <v>0</v>
      </c>
      <c r="J27" s="2">
        <f t="shared" si="6"/>
        <v>0</v>
      </c>
      <c r="K27" s="2">
        <f t="shared" si="7"/>
        <v>0</v>
      </c>
      <c r="L27" s="2">
        <f t="shared" si="8"/>
        <v>0</v>
      </c>
      <c r="M27" s="2">
        <f t="shared" si="9"/>
        <v>0</v>
      </c>
      <c r="O27" s="50">
        <v>5.09</v>
      </c>
      <c r="P27" s="6" t="s">
        <v>100</v>
      </c>
    </row>
    <row r="28" spans="1:15" ht="12.75">
      <c r="A28" t="s">
        <v>1012</v>
      </c>
      <c r="C28" s="2">
        <f>B28/($O$18/100)/12</f>
        <v>0</v>
      </c>
      <c r="D28" s="2">
        <v>8</v>
      </c>
      <c r="E28" s="2">
        <f t="shared" si="1"/>
        <v>0</v>
      </c>
      <c r="F28" s="4">
        <f>(B28*D28)/0.9</f>
        <v>0</v>
      </c>
      <c r="G28" s="2">
        <f t="shared" si="3"/>
        <v>0</v>
      </c>
      <c r="H28" s="2">
        <f t="shared" si="4"/>
        <v>0</v>
      </c>
      <c r="I28" s="2">
        <f t="shared" si="5"/>
        <v>0</v>
      </c>
      <c r="J28" s="2">
        <f t="shared" si="6"/>
        <v>0</v>
      </c>
      <c r="K28" s="2">
        <f t="shared" si="7"/>
        <v>0</v>
      </c>
      <c r="L28" s="2">
        <f t="shared" si="8"/>
        <v>0</v>
      </c>
      <c r="M28" s="2">
        <f t="shared" si="9"/>
        <v>0</v>
      </c>
      <c r="O28" t="s">
        <v>68</v>
      </c>
    </row>
    <row r="29" spans="1:15" ht="12.75">
      <c r="A29" t="s">
        <v>1137</v>
      </c>
      <c r="B29" t="s">
        <v>1084</v>
      </c>
      <c r="C29" s="2"/>
      <c r="D29" s="2">
        <v>24</v>
      </c>
      <c r="E29" s="2">
        <f t="shared" si="1"/>
        <v>0</v>
      </c>
      <c r="F29" s="4">
        <f>IF(B29&lt;&gt;"n/a",((B29*D29)/0.9),E29*12.6)</f>
        <v>0</v>
      </c>
      <c r="G29" s="2">
        <f t="shared" si="3"/>
        <v>0</v>
      </c>
      <c r="H29" s="2">
        <f t="shared" si="4"/>
        <v>0</v>
      </c>
      <c r="I29" s="2">
        <f t="shared" si="5"/>
        <v>0</v>
      </c>
      <c r="J29" s="2">
        <f t="shared" si="6"/>
        <v>0</v>
      </c>
      <c r="K29" s="2">
        <f t="shared" si="7"/>
        <v>0</v>
      </c>
      <c r="L29" s="2">
        <f t="shared" si="8"/>
        <v>0</v>
      </c>
      <c r="M29" s="2">
        <f t="shared" si="9"/>
        <v>0</v>
      </c>
      <c r="O29" t="s">
        <v>69</v>
      </c>
    </row>
    <row r="30" spans="1:15" ht="12.75">
      <c r="A30" t="s">
        <v>1156</v>
      </c>
      <c r="C30" s="2"/>
      <c r="D30" s="2"/>
      <c r="E30" s="2">
        <f t="shared" si="1"/>
        <v>0</v>
      </c>
      <c r="F30" s="4">
        <f>(B30*D30)/0.9</f>
        <v>0</v>
      </c>
      <c r="G30" s="2">
        <f t="shared" si="3"/>
        <v>0</v>
      </c>
      <c r="H30" s="2">
        <f t="shared" si="4"/>
        <v>0</v>
      </c>
      <c r="I30" s="2">
        <f t="shared" si="5"/>
        <v>0</v>
      </c>
      <c r="J30" s="2">
        <f t="shared" si="6"/>
        <v>0</v>
      </c>
      <c r="K30" s="2">
        <f t="shared" si="7"/>
        <v>0</v>
      </c>
      <c r="L30" s="2">
        <f t="shared" si="8"/>
        <v>0</v>
      </c>
      <c r="M30" s="2">
        <f t="shared" si="9"/>
        <v>0</v>
      </c>
      <c r="O30" t="s">
        <v>70</v>
      </c>
    </row>
    <row r="31" spans="1:15" ht="12.75">
      <c r="A31" s="8" t="s">
        <v>1080</v>
      </c>
      <c r="B31" s="10">
        <f>SUM(B4:B29)</f>
        <v>150</v>
      </c>
      <c r="C31" s="2">
        <f>SUM(C4:C29)</f>
        <v>14.32638888888889</v>
      </c>
      <c r="D31" s="2"/>
      <c r="E31" s="2">
        <f>SUM(E4:E29)</f>
        <v>121.61111111111111</v>
      </c>
      <c r="F31" s="4">
        <f>SUM(F4:F29)</f>
        <v>1465.6333333333332</v>
      </c>
      <c r="G31" s="45">
        <f>G3</f>
        <v>8</v>
      </c>
      <c r="H31" s="2" t="s">
        <v>355</v>
      </c>
      <c r="I31" s="2" t="s">
        <v>356</v>
      </c>
      <c r="J31" s="42" t="s">
        <v>357</v>
      </c>
      <c r="K31" s="2" t="s">
        <v>358</v>
      </c>
      <c r="L31" s="2" t="s">
        <v>359</v>
      </c>
      <c r="M31" s="10">
        <f>M3</f>
        <v>7</v>
      </c>
      <c r="N31" s="2" t="s">
        <v>1026</v>
      </c>
      <c r="O31" t="s">
        <v>95</v>
      </c>
    </row>
    <row r="32" spans="4:16" ht="12.75">
      <c r="D32" t="s">
        <v>884</v>
      </c>
      <c r="G32" s="2">
        <f aca="true" t="shared" si="12" ref="G32:M32">SUM(G4:G29)</f>
        <v>81.07407407407408</v>
      </c>
      <c r="H32" s="2">
        <f t="shared" si="12"/>
        <v>121.61111111111111</v>
      </c>
      <c r="I32" s="2">
        <f t="shared" si="12"/>
        <v>162.9588888888889</v>
      </c>
      <c r="J32" s="2">
        <f t="shared" si="12"/>
        <v>243.22222222222223</v>
      </c>
      <c r="K32" s="2">
        <f t="shared" si="12"/>
        <v>486.44444444444446</v>
      </c>
      <c r="L32" s="2">
        <f t="shared" si="12"/>
        <v>729.6666666666667</v>
      </c>
      <c r="M32" s="2">
        <f t="shared" si="12"/>
        <v>1702.5555555555557</v>
      </c>
      <c r="N32" t="s">
        <v>253</v>
      </c>
      <c r="P32" t="s">
        <v>98</v>
      </c>
    </row>
    <row r="33" spans="1:16" ht="12.75">
      <c r="A33" t="s">
        <v>10</v>
      </c>
      <c r="D33" t="s">
        <v>1122</v>
      </c>
      <c r="E33" t="s">
        <v>1074</v>
      </c>
      <c r="F33">
        <f>O17/2</f>
        <v>90</v>
      </c>
      <c r="G33" s="2">
        <f>G32/2</f>
        <v>40.53703703703704</v>
      </c>
      <c r="H33" s="2">
        <f>H32/2</f>
        <v>60.80555555555556</v>
      </c>
      <c r="I33" s="2">
        <f>I32/2</f>
        <v>81.47944444444445</v>
      </c>
      <c r="J33" s="2">
        <f>J32/2</f>
        <v>121.61111111111111</v>
      </c>
      <c r="K33" s="2">
        <f>J33*2</f>
        <v>243.22222222222223</v>
      </c>
      <c r="L33" s="2">
        <f>J33*3</f>
        <v>364.83333333333337</v>
      </c>
      <c r="M33" s="2">
        <f>J33*M3</f>
        <v>851.2777777777778</v>
      </c>
      <c r="P33" t="s">
        <v>895</v>
      </c>
    </row>
    <row r="34" spans="1:16" ht="12.75">
      <c r="A34" t="s">
        <v>11</v>
      </c>
      <c r="D34" t="s">
        <v>810</v>
      </c>
      <c r="G34" s="2">
        <f aca="true" t="shared" si="13" ref="G34:M34">G33/$O$17*100</f>
        <v>22.520576131687243</v>
      </c>
      <c r="H34" s="2">
        <f t="shared" si="13"/>
        <v>33.78086419753086</v>
      </c>
      <c r="I34" s="2">
        <f t="shared" si="13"/>
        <v>45.266358024691364</v>
      </c>
      <c r="J34" s="2">
        <f t="shared" si="13"/>
        <v>67.56172839506172</v>
      </c>
      <c r="K34" s="2">
        <f t="shared" si="13"/>
        <v>135.12345679012344</v>
      </c>
      <c r="L34" s="2">
        <f t="shared" si="13"/>
        <v>202.6851851851852</v>
      </c>
      <c r="M34" s="2">
        <f t="shared" si="13"/>
        <v>472.93209876543216</v>
      </c>
      <c r="N34" s="47" t="s">
        <v>1034</v>
      </c>
      <c r="P34" t="s">
        <v>896</v>
      </c>
    </row>
    <row r="35" spans="1:16" ht="12.75">
      <c r="A35" t="s">
        <v>12</v>
      </c>
      <c r="D35" t="s">
        <v>811</v>
      </c>
      <c r="E35" s="22"/>
      <c r="F35" s="4"/>
      <c r="G35" s="2">
        <f aca="true" t="shared" si="14" ref="G35:M35">G33*1.15</f>
        <v>46.61759259259259</v>
      </c>
      <c r="H35" s="2">
        <f t="shared" si="14"/>
        <v>69.92638888888888</v>
      </c>
      <c r="I35" s="2">
        <f t="shared" si="14"/>
        <v>93.70136111111111</v>
      </c>
      <c r="J35" s="2">
        <f t="shared" si="14"/>
        <v>139.85277777777776</v>
      </c>
      <c r="K35" s="2">
        <f t="shared" si="14"/>
        <v>279.7055555555555</v>
      </c>
      <c r="L35" s="2">
        <f t="shared" si="14"/>
        <v>419.55833333333334</v>
      </c>
      <c r="M35" s="2">
        <f t="shared" si="14"/>
        <v>978.9694444444444</v>
      </c>
      <c r="N35" t="s">
        <v>812</v>
      </c>
      <c r="P35" t="s">
        <v>897</v>
      </c>
    </row>
    <row r="36" spans="6:16" ht="12.75">
      <c r="F36" s="4"/>
      <c r="G36" s="2"/>
      <c r="H36" s="2"/>
      <c r="I36" s="2"/>
      <c r="J36" s="2"/>
      <c r="K36" s="2"/>
      <c r="L36" s="2"/>
      <c r="M36" s="2"/>
      <c r="P36" t="s">
        <v>898</v>
      </c>
    </row>
    <row r="37" spans="3:19" ht="12.75">
      <c r="C37" t="s">
        <v>414</v>
      </c>
      <c r="E37" s="53" t="s">
        <v>656</v>
      </c>
      <c r="F37" s="54" t="s">
        <v>651</v>
      </c>
      <c r="G37" s="2" t="s">
        <v>116</v>
      </c>
      <c r="H37" s="2"/>
      <c r="I37" s="25"/>
      <c r="J37" s="52"/>
      <c r="K37" s="2"/>
      <c r="L37" s="2"/>
      <c r="M37" s="2"/>
      <c r="O37" s="8" t="s">
        <v>564</v>
      </c>
      <c r="P37" s="8" t="s">
        <v>651</v>
      </c>
      <c r="Q37" s="56" t="s">
        <v>809</v>
      </c>
      <c r="R37" s="56" t="s">
        <v>887</v>
      </c>
      <c r="S37" t="s">
        <v>618</v>
      </c>
    </row>
    <row r="38" spans="3:19" ht="12.75">
      <c r="C38" t="s">
        <v>373</v>
      </c>
      <c r="E38">
        <v>400</v>
      </c>
      <c r="G38" s="2">
        <f>G35/O38</f>
        <v>1.683413065843621</v>
      </c>
      <c r="H38" s="2">
        <f>H35/O38</f>
        <v>2.5251195987654316</v>
      </c>
      <c r="I38" s="2">
        <f>I35/O38</f>
        <v>3.383660262345679</v>
      </c>
      <c r="J38" s="2">
        <f>J35/O38</f>
        <v>5.050239197530863</v>
      </c>
      <c r="K38" s="2">
        <f aca="true" t="shared" si="15" ref="K38:K61">J38*2</f>
        <v>10.100478395061726</v>
      </c>
      <c r="L38" s="2">
        <f aca="true" t="shared" si="16" ref="L38:L61">J38*3</f>
        <v>15.150717592592589</v>
      </c>
      <c r="M38" s="2">
        <f aca="true" t="shared" si="17" ref="M38:M61">J38*4</f>
        <v>20.200956790123453</v>
      </c>
      <c r="N38" t="s">
        <v>1142</v>
      </c>
      <c r="O38" s="2">
        <f>E38/13*0.9</f>
        <v>27.692307692307693</v>
      </c>
      <c r="Q38" s="10">
        <f>O38*O26</f>
        <v>92.49230769230769</v>
      </c>
      <c r="R38" s="4">
        <f aca="true" t="shared" si="18" ref="R38:R61">Q38*12</f>
        <v>1109.9076923076923</v>
      </c>
      <c r="S38" t="s">
        <v>1029</v>
      </c>
    </row>
    <row r="39" spans="1:21" ht="12.75">
      <c r="A39" t="s">
        <v>652</v>
      </c>
      <c r="F39" s="4">
        <f>E38*0.726</f>
        <v>290.4</v>
      </c>
      <c r="G39" s="2">
        <f>G$35/$P39</f>
        <v>2.3187507793989273</v>
      </c>
      <c r="H39" s="2">
        <f>H$35/$P39</f>
        <v>3.478126169098391</v>
      </c>
      <c r="I39" s="2">
        <f>I$35/$P39</f>
        <v>4.660689066591845</v>
      </c>
      <c r="J39" s="2">
        <f>J$35/$P39</f>
        <v>6.956252338196782</v>
      </c>
      <c r="K39" s="2">
        <f t="shared" si="15"/>
        <v>13.912504676393564</v>
      </c>
      <c r="L39" s="2">
        <f t="shared" si="16"/>
        <v>20.868757014590344</v>
      </c>
      <c r="M39" s="2">
        <f t="shared" si="17"/>
        <v>27.825009352787127</v>
      </c>
      <c r="P39" s="2">
        <f>F39/13*0.9</f>
        <v>20.104615384615386</v>
      </c>
      <c r="Q39" s="10">
        <f>P39*O26</f>
        <v>67.14941538461538</v>
      </c>
      <c r="R39" s="4">
        <f t="shared" si="18"/>
        <v>805.7929846153845</v>
      </c>
      <c r="U39" t="s">
        <v>1032</v>
      </c>
    </row>
    <row r="40" spans="1:19" ht="12.75">
      <c r="A40" t="s">
        <v>987</v>
      </c>
      <c r="C40" t="s">
        <v>399</v>
      </c>
      <c r="E40">
        <v>400</v>
      </c>
      <c r="G40" s="2">
        <f>G$35/O40</f>
        <v>1.683413065843621</v>
      </c>
      <c r="H40" s="2">
        <f>H35/O40</f>
        <v>2.5251195987654316</v>
      </c>
      <c r="I40" s="2">
        <f>I35/O40</f>
        <v>3.383660262345679</v>
      </c>
      <c r="J40" s="2">
        <f>J35/O40</f>
        <v>5.050239197530863</v>
      </c>
      <c r="K40" s="2">
        <f t="shared" si="15"/>
        <v>10.100478395061726</v>
      </c>
      <c r="L40" s="2">
        <f t="shared" si="16"/>
        <v>15.150717592592589</v>
      </c>
      <c r="M40" s="2">
        <f t="shared" si="17"/>
        <v>20.200956790123453</v>
      </c>
      <c r="N40" t="s">
        <v>1142</v>
      </c>
      <c r="O40" s="2">
        <f>E40/13*0.9</f>
        <v>27.692307692307693</v>
      </c>
      <c r="Q40" s="10">
        <f>O40*O27</f>
        <v>140.95384615384614</v>
      </c>
      <c r="R40" s="4">
        <f t="shared" si="18"/>
        <v>1691.4461538461537</v>
      </c>
      <c r="S40" t="s">
        <v>1031</v>
      </c>
    </row>
    <row r="41" spans="1:21" ht="12.75">
      <c r="A41" t="s">
        <v>654</v>
      </c>
      <c r="F41" s="4">
        <f>E40*0.726</f>
        <v>290.4</v>
      </c>
      <c r="G41" s="2">
        <f>G$35/$P41</f>
        <v>2.3187507793989273</v>
      </c>
      <c r="H41" s="2">
        <f>H$35/$P41</f>
        <v>3.478126169098391</v>
      </c>
      <c r="I41" s="2">
        <f>I$35/$P41</f>
        <v>4.660689066591845</v>
      </c>
      <c r="J41" s="2">
        <f>J$35/$P41</f>
        <v>6.956252338196782</v>
      </c>
      <c r="K41" s="2">
        <f t="shared" si="15"/>
        <v>13.912504676393564</v>
      </c>
      <c r="L41" s="2">
        <f t="shared" si="16"/>
        <v>20.868757014590344</v>
      </c>
      <c r="M41" s="2">
        <f t="shared" si="17"/>
        <v>27.825009352787127</v>
      </c>
      <c r="P41" s="2">
        <f>F41/13*0.9</f>
        <v>20.104615384615386</v>
      </c>
      <c r="Q41" s="10">
        <f>P41*O27</f>
        <v>102.3324923076923</v>
      </c>
      <c r="R41" s="4">
        <f t="shared" si="18"/>
        <v>1227.9899076923077</v>
      </c>
      <c r="U41" t="s">
        <v>1033</v>
      </c>
    </row>
    <row r="42" spans="1:18" ht="12.75">
      <c r="A42" t="s">
        <v>988</v>
      </c>
      <c r="C42" t="s">
        <v>373</v>
      </c>
      <c r="E42">
        <v>500</v>
      </c>
      <c r="G42" s="2">
        <f>G35/O42</f>
        <v>1.346730452674897</v>
      </c>
      <c r="H42" s="2">
        <f>H35/O42</f>
        <v>2.0200956790123454</v>
      </c>
      <c r="I42" s="2">
        <f>I35/O42</f>
        <v>2.7069282098765433</v>
      </c>
      <c r="J42" s="2">
        <f>J35/O42</f>
        <v>4.040191358024691</v>
      </c>
      <c r="K42" s="2">
        <f t="shared" si="15"/>
        <v>8.080382716049382</v>
      </c>
      <c r="L42" s="2">
        <f t="shared" si="16"/>
        <v>12.120574074074073</v>
      </c>
      <c r="M42" s="2">
        <f t="shared" si="17"/>
        <v>16.160765432098763</v>
      </c>
      <c r="N42" t="s">
        <v>1142</v>
      </c>
      <c r="O42" s="2">
        <f>E42/13*0.9</f>
        <v>34.61538461538461</v>
      </c>
      <c r="Q42" s="10">
        <f>O42*O26</f>
        <v>115.6153846153846</v>
      </c>
      <c r="R42" s="4">
        <f t="shared" si="18"/>
        <v>1387.3846153846152</v>
      </c>
    </row>
    <row r="43" spans="6:18" ht="12.75">
      <c r="F43" s="4">
        <f>E42*0.726</f>
        <v>363</v>
      </c>
      <c r="G43" s="2">
        <f>G$35/$P43</f>
        <v>1.8550006235191416</v>
      </c>
      <c r="H43" s="2">
        <f>H$35/$P43</f>
        <v>2.7825009352787125</v>
      </c>
      <c r="I43" s="2">
        <f>I$35/$P43</f>
        <v>3.7285512532734755</v>
      </c>
      <c r="J43" s="2">
        <f>J$35/$P43</f>
        <v>5.565001870557425</v>
      </c>
      <c r="K43" s="2">
        <f t="shared" si="15"/>
        <v>11.13000374111485</v>
      </c>
      <c r="L43" s="2">
        <f t="shared" si="16"/>
        <v>16.695005611672276</v>
      </c>
      <c r="M43" s="2">
        <f t="shared" si="17"/>
        <v>22.2600074822297</v>
      </c>
      <c r="P43" s="2">
        <f>F43/13*0.9</f>
        <v>25.130769230769232</v>
      </c>
      <c r="Q43" s="10">
        <f>P43*O26</f>
        <v>83.93676923076923</v>
      </c>
      <c r="R43" s="4">
        <f t="shared" si="18"/>
        <v>1007.2412307692307</v>
      </c>
    </row>
    <row r="44" spans="1:18" ht="12.75">
      <c r="A44" t="s">
        <v>551</v>
      </c>
      <c r="C44" t="s">
        <v>399</v>
      </c>
      <c r="E44">
        <v>500</v>
      </c>
      <c r="G44" s="2">
        <f>G35/O44</f>
        <v>1.346730452674897</v>
      </c>
      <c r="H44" s="2">
        <f>H35/O44</f>
        <v>2.0200956790123454</v>
      </c>
      <c r="I44" s="2">
        <f>I35/O44</f>
        <v>2.7069282098765433</v>
      </c>
      <c r="J44" s="2">
        <f>J35/O44</f>
        <v>4.040191358024691</v>
      </c>
      <c r="K44" s="2">
        <f t="shared" si="15"/>
        <v>8.080382716049382</v>
      </c>
      <c r="L44" s="2">
        <f t="shared" si="16"/>
        <v>12.120574074074073</v>
      </c>
      <c r="M44" s="2">
        <f t="shared" si="17"/>
        <v>16.160765432098763</v>
      </c>
      <c r="N44" t="s">
        <v>1142</v>
      </c>
      <c r="O44" s="2">
        <f>E44/13*0.9</f>
        <v>34.61538461538461</v>
      </c>
      <c r="Q44" s="10">
        <f>O44*O27</f>
        <v>176.19230769230768</v>
      </c>
      <c r="R44" s="4">
        <f t="shared" si="18"/>
        <v>2114.3076923076924</v>
      </c>
    </row>
    <row r="45" spans="2:18" ht="12.75">
      <c r="B45" s="37"/>
      <c r="F45" s="4">
        <f>E44*0.726</f>
        <v>363</v>
      </c>
      <c r="G45" s="2">
        <f>G$35/$P45</f>
        <v>1.8550006235191416</v>
      </c>
      <c r="H45" s="2">
        <f>H$35/$P45</f>
        <v>2.7825009352787125</v>
      </c>
      <c r="I45" s="2">
        <f>I$35/$P45</f>
        <v>3.7285512532734755</v>
      </c>
      <c r="J45" s="2">
        <f>J$35/$P45</f>
        <v>5.565001870557425</v>
      </c>
      <c r="K45" s="2">
        <f t="shared" si="15"/>
        <v>11.13000374111485</v>
      </c>
      <c r="L45" s="2">
        <f t="shared" si="16"/>
        <v>16.695005611672276</v>
      </c>
      <c r="M45" s="2">
        <f t="shared" si="17"/>
        <v>22.2600074822297</v>
      </c>
      <c r="P45" s="2">
        <f>F45/13*0.9</f>
        <v>25.130769230769232</v>
      </c>
      <c r="Q45" s="10">
        <f>P45*O27</f>
        <v>127.91561538461539</v>
      </c>
      <c r="R45" s="4">
        <f t="shared" si="18"/>
        <v>1534.9873846153846</v>
      </c>
    </row>
    <row r="46" spans="1:20" ht="12.75">
      <c r="A46" t="s">
        <v>179</v>
      </c>
      <c r="B46" s="38"/>
      <c r="C46" t="s">
        <v>373</v>
      </c>
      <c r="E46">
        <v>610</v>
      </c>
      <c r="G46" s="2">
        <f>G35/O46</f>
        <v>1.1038774202253254</v>
      </c>
      <c r="H46" s="2">
        <f>H35/O46</f>
        <v>1.6558161303379881</v>
      </c>
      <c r="I46" s="2">
        <f>I35/O46</f>
        <v>2.2187936146529044</v>
      </c>
      <c r="J46" s="2">
        <f>J35/O46</f>
        <v>3.3116322606759763</v>
      </c>
      <c r="K46" s="2">
        <f t="shared" si="15"/>
        <v>6.6232645213519525</v>
      </c>
      <c r="L46" s="2">
        <f t="shared" si="16"/>
        <v>9.934896782027929</v>
      </c>
      <c r="M46" s="2">
        <f t="shared" si="17"/>
        <v>13.246529042703905</v>
      </c>
      <c r="N46" t="s">
        <v>1142</v>
      </c>
      <c r="O46" s="2">
        <f>E46/13*0.9</f>
        <v>42.230769230769226</v>
      </c>
      <c r="Q46" s="10">
        <f>O46*O26</f>
        <v>141.05076923076922</v>
      </c>
      <c r="R46" s="4">
        <f t="shared" si="18"/>
        <v>1692.6092307692306</v>
      </c>
      <c r="S46" t="s">
        <v>954</v>
      </c>
      <c r="T46" t="s">
        <v>955</v>
      </c>
    </row>
    <row r="47" spans="1:20" ht="12.75">
      <c r="A47" t="s">
        <v>180</v>
      </c>
      <c r="B47" s="38"/>
      <c r="F47" s="4">
        <f>E46*0.726</f>
        <v>442.86</v>
      </c>
      <c r="G47" s="2">
        <f>G$35/$P47</f>
        <v>1.5204923143599525</v>
      </c>
      <c r="H47" s="2">
        <f>H$35/$P47</f>
        <v>2.2807384715399284</v>
      </c>
      <c r="I47" s="2">
        <f>I$35/$P47</f>
        <v>3.0561895518635045</v>
      </c>
      <c r="J47" s="2">
        <f>J$35/$P47</f>
        <v>4.561476943079857</v>
      </c>
      <c r="K47" s="2">
        <f t="shared" si="15"/>
        <v>9.122953886159713</v>
      </c>
      <c r="L47" s="2">
        <f t="shared" si="16"/>
        <v>13.68443082923957</v>
      </c>
      <c r="M47" s="2">
        <f t="shared" si="17"/>
        <v>18.245907772319427</v>
      </c>
      <c r="O47" s="2"/>
      <c r="P47" s="2">
        <f>F47/13*0.9</f>
        <v>30.65953846153846</v>
      </c>
      <c r="Q47" s="10">
        <f>P47*O26</f>
        <v>102.40285846153846</v>
      </c>
      <c r="R47" s="4">
        <f t="shared" si="18"/>
        <v>1228.8343015384614</v>
      </c>
      <c r="S47">
        <f>G35/8</f>
        <v>5.827199074074073</v>
      </c>
      <c r="T47">
        <f>G47/8</f>
        <v>0.19006153929499406</v>
      </c>
    </row>
    <row r="48" spans="1:18" ht="12.75">
      <c r="A48" t="s">
        <v>299</v>
      </c>
      <c r="B48" s="37"/>
      <c r="C48" t="s">
        <v>399</v>
      </c>
      <c r="E48">
        <v>610</v>
      </c>
      <c r="G48" s="2">
        <f>G35/O48</f>
        <v>1.1038774202253254</v>
      </c>
      <c r="H48" s="2">
        <f>H35/O48</f>
        <v>1.6558161303379881</v>
      </c>
      <c r="I48" s="2">
        <f>I35/O48</f>
        <v>2.2187936146529044</v>
      </c>
      <c r="J48" s="2">
        <f>J35/O48</f>
        <v>3.3116322606759763</v>
      </c>
      <c r="K48" s="2">
        <f t="shared" si="15"/>
        <v>6.6232645213519525</v>
      </c>
      <c r="L48" s="2">
        <f t="shared" si="16"/>
        <v>9.934896782027929</v>
      </c>
      <c r="M48" s="2">
        <f t="shared" si="17"/>
        <v>13.246529042703905</v>
      </c>
      <c r="N48" t="s">
        <v>1142</v>
      </c>
      <c r="O48" s="2">
        <f>E48/13*0.9</f>
        <v>42.230769230769226</v>
      </c>
      <c r="Q48" s="10">
        <f>O48*O27</f>
        <v>214.95461538461535</v>
      </c>
      <c r="R48" s="4">
        <f t="shared" si="18"/>
        <v>2579.455384615384</v>
      </c>
    </row>
    <row r="49" spans="1:20" ht="12.75">
      <c r="A49" t="s">
        <v>178</v>
      </c>
      <c r="F49" s="4">
        <f>E48*0.726</f>
        <v>442.86</v>
      </c>
      <c r="G49" s="2">
        <f>G$35/$P49</f>
        <v>1.5204923143599525</v>
      </c>
      <c r="H49" s="2">
        <f>H$35/$P49</f>
        <v>2.2807384715399284</v>
      </c>
      <c r="I49" s="2">
        <f>I$35/$P49</f>
        <v>3.0561895518635045</v>
      </c>
      <c r="J49" s="2">
        <f>J$35/$P49</f>
        <v>4.561476943079857</v>
      </c>
      <c r="K49" s="2">
        <f t="shared" si="15"/>
        <v>9.122953886159713</v>
      </c>
      <c r="L49" s="2">
        <f t="shared" si="16"/>
        <v>13.68443082923957</v>
      </c>
      <c r="M49" s="2">
        <f t="shared" si="17"/>
        <v>18.245907772319427</v>
      </c>
      <c r="O49" s="2"/>
      <c r="P49" s="2">
        <f>F49/13*0.9</f>
        <v>30.65953846153846</v>
      </c>
      <c r="Q49" s="10">
        <f>P49*O27</f>
        <v>156.05705076923076</v>
      </c>
      <c r="R49" s="4">
        <f t="shared" si="18"/>
        <v>1872.6846092307692</v>
      </c>
      <c r="T49" t="s">
        <v>194</v>
      </c>
    </row>
    <row r="50" spans="1:20" ht="12.75">
      <c r="A50" t="s">
        <v>181</v>
      </c>
      <c r="B50" s="19"/>
      <c r="C50" t="s">
        <v>373</v>
      </c>
      <c r="E50">
        <v>1110</v>
      </c>
      <c r="G50" s="2">
        <f>G35/O50</f>
        <v>0.6066353390427464</v>
      </c>
      <c r="H50" s="2">
        <f>H35/O50</f>
        <v>0.9099530085641194</v>
      </c>
      <c r="I50" s="2">
        <f>I35/O50</f>
        <v>1.2193370314759202</v>
      </c>
      <c r="J50" s="2">
        <f>J35/O50</f>
        <v>1.8199060171282389</v>
      </c>
      <c r="K50" s="2">
        <f t="shared" si="15"/>
        <v>3.6398120342564777</v>
      </c>
      <c r="L50" s="2">
        <f t="shared" si="16"/>
        <v>5.4597180513847166</v>
      </c>
      <c r="M50" s="2">
        <f t="shared" si="17"/>
        <v>7.279624068512955</v>
      </c>
      <c r="N50" t="s">
        <v>1142</v>
      </c>
      <c r="O50" s="2">
        <f>E50/13*0.9</f>
        <v>76.84615384615385</v>
      </c>
      <c r="Q50" s="10">
        <f>O50*O26</f>
        <v>256.66615384615386</v>
      </c>
      <c r="R50" s="4">
        <f t="shared" si="18"/>
        <v>3079.9938461538463</v>
      </c>
      <c r="T50" t="s">
        <v>195</v>
      </c>
    </row>
    <row r="51" spans="1:20" ht="12.75">
      <c r="A51" t="s">
        <v>334</v>
      </c>
      <c r="B51" s="19"/>
      <c r="C51" s="3"/>
      <c r="F51" s="4">
        <f>E50*0.726</f>
        <v>805.86</v>
      </c>
      <c r="G51" s="2">
        <f>G$35/$P51</f>
        <v>0.8355858664500637</v>
      </c>
      <c r="H51" s="2">
        <f>H$35/$P51</f>
        <v>1.2533787996750956</v>
      </c>
      <c r="I51" s="2">
        <f>I$35/$P51</f>
        <v>1.6795275915646284</v>
      </c>
      <c r="J51" s="2">
        <f>J$35/$P51</f>
        <v>2.506757599350191</v>
      </c>
      <c r="K51" s="2">
        <f t="shared" si="15"/>
        <v>5.013515198700382</v>
      </c>
      <c r="L51" s="2">
        <f t="shared" si="16"/>
        <v>7.5202727980505735</v>
      </c>
      <c r="M51" s="2">
        <f t="shared" si="17"/>
        <v>10.027030397400765</v>
      </c>
      <c r="P51" s="2">
        <f>F51/13*0.9</f>
        <v>55.7903076923077</v>
      </c>
      <c r="Q51" s="10">
        <f>P51*O26</f>
        <v>186.33962769230772</v>
      </c>
      <c r="R51" s="4">
        <f t="shared" si="18"/>
        <v>2236.075532307693</v>
      </c>
      <c r="T51" t="s">
        <v>196</v>
      </c>
    </row>
    <row r="52" spans="1:20" ht="12.75">
      <c r="A52" t="s">
        <v>371</v>
      </c>
      <c r="B52" s="19"/>
      <c r="C52" t="s">
        <v>399</v>
      </c>
      <c r="E52">
        <v>1110</v>
      </c>
      <c r="F52" s="10"/>
      <c r="G52" s="2">
        <f>G35/O52</f>
        <v>0.6066353390427464</v>
      </c>
      <c r="H52" s="2">
        <f>H35/O52</f>
        <v>0.9099530085641194</v>
      </c>
      <c r="I52" s="2">
        <f>I35/O52</f>
        <v>1.2193370314759202</v>
      </c>
      <c r="J52" s="2">
        <f>J35/O52</f>
        <v>1.8199060171282389</v>
      </c>
      <c r="K52" s="2">
        <f t="shared" si="15"/>
        <v>3.6398120342564777</v>
      </c>
      <c r="L52" s="2">
        <f t="shared" si="16"/>
        <v>5.4597180513847166</v>
      </c>
      <c r="M52" s="2">
        <f t="shared" si="17"/>
        <v>7.279624068512955</v>
      </c>
      <c r="N52" t="s">
        <v>1142</v>
      </c>
      <c r="O52" s="2">
        <f>E52/13*0.9</f>
        <v>76.84615384615385</v>
      </c>
      <c r="Q52" s="10">
        <f>O52*O27</f>
        <v>391.1469230769231</v>
      </c>
      <c r="R52" s="4">
        <f t="shared" si="18"/>
        <v>4693.763076923077</v>
      </c>
      <c r="T52" t="s">
        <v>1035</v>
      </c>
    </row>
    <row r="53" spans="2:20" ht="12.75">
      <c r="B53" s="19"/>
      <c r="F53" s="4">
        <f>E52*0.726</f>
        <v>805.86</v>
      </c>
      <c r="G53" s="2">
        <f>G$35/$P53</f>
        <v>0.8355858664500637</v>
      </c>
      <c r="H53" s="2">
        <f>H$35/$P53</f>
        <v>1.2533787996750956</v>
      </c>
      <c r="I53" s="2">
        <f>I$35/$P53</f>
        <v>1.6795275915646284</v>
      </c>
      <c r="J53" s="2">
        <f>J$35/$P53</f>
        <v>2.506757599350191</v>
      </c>
      <c r="K53" s="2">
        <f t="shared" si="15"/>
        <v>5.013515198700382</v>
      </c>
      <c r="L53" s="2">
        <f t="shared" si="16"/>
        <v>7.5202727980505735</v>
      </c>
      <c r="M53" s="2">
        <f t="shared" si="17"/>
        <v>10.027030397400765</v>
      </c>
      <c r="P53" s="2">
        <f>F53/13*0.9</f>
        <v>55.7903076923077</v>
      </c>
      <c r="Q53" s="10">
        <f>P53*O27</f>
        <v>283.9726661538462</v>
      </c>
      <c r="R53" s="4">
        <f t="shared" si="18"/>
        <v>3407.6719938461547</v>
      </c>
      <c r="T53" t="s">
        <v>190</v>
      </c>
    </row>
    <row r="54" spans="1:20" ht="12.75">
      <c r="A54" s="24" t="s">
        <v>552</v>
      </c>
      <c r="C54" t="s">
        <v>373</v>
      </c>
      <c r="E54">
        <v>1510</v>
      </c>
      <c r="G54" s="2">
        <f>G35/O54</f>
        <v>0.4459372359850652</v>
      </c>
      <c r="H54" s="2">
        <f>H35/O54</f>
        <v>0.6689058539775977</v>
      </c>
      <c r="I54" s="2">
        <f>I35/O54</f>
        <v>0.8963338443299811</v>
      </c>
      <c r="J54" s="2">
        <f>J35/O54</f>
        <v>1.3378117079551954</v>
      </c>
      <c r="K54" s="2">
        <f t="shared" si="15"/>
        <v>2.675623415910391</v>
      </c>
      <c r="L54" s="2">
        <f t="shared" si="16"/>
        <v>4.0134351238655865</v>
      </c>
      <c r="M54" s="2">
        <f t="shared" si="17"/>
        <v>5.351246831820782</v>
      </c>
      <c r="N54" t="s">
        <v>1142</v>
      </c>
      <c r="O54" s="2">
        <f>E54/13*0.9</f>
        <v>104.53846153846155</v>
      </c>
      <c r="Q54" s="10">
        <f>O54*O26</f>
        <v>349.15846153846155</v>
      </c>
      <c r="R54" s="4">
        <f t="shared" si="18"/>
        <v>4189.901538461539</v>
      </c>
      <c r="T54" t="s">
        <v>191</v>
      </c>
    </row>
    <row r="55" spans="1:20" ht="12.75">
      <c r="A55" t="s">
        <v>553</v>
      </c>
      <c r="C55" s="3"/>
      <c r="F55" s="4">
        <f>E54*0.726</f>
        <v>1096.26</v>
      </c>
      <c r="G55" s="2">
        <f>G$35/$P55</f>
        <v>0.6142386170593185</v>
      </c>
      <c r="H55" s="2">
        <f>H$35/$P55</f>
        <v>0.9213579255889777</v>
      </c>
      <c r="I55" s="2">
        <f>I$35/$P55</f>
        <v>1.2346196202892303</v>
      </c>
      <c r="J55" s="2">
        <f>J$35/$P55</f>
        <v>1.8427158511779553</v>
      </c>
      <c r="K55" s="2">
        <f t="shared" si="15"/>
        <v>3.6854317023559107</v>
      </c>
      <c r="L55" s="2">
        <f t="shared" si="16"/>
        <v>5.528147553533866</v>
      </c>
      <c r="M55" s="2">
        <f t="shared" si="17"/>
        <v>7.370863404711821</v>
      </c>
      <c r="P55" s="2">
        <f>F55/13*0.9</f>
        <v>75.89492307692308</v>
      </c>
      <c r="Q55" s="10">
        <f>P55*O26</f>
        <v>253.48904307692308</v>
      </c>
      <c r="R55" s="4">
        <f t="shared" si="18"/>
        <v>3041.868516923077</v>
      </c>
      <c r="T55" t="s">
        <v>192</v>
      </c>
    </row>
    <row r="56" spans="1:20" ht="12.75">
      <c r="A56" t="s">
        <v>554</v>
      </c>
      <c r="C56" t="s">
        <v>399</v>
      </c>
      <c r="E56">
        <v>1510</v>
      </c>
      <c r="G56" s="2">
        <f>G35/O56</f>
        <v>0.4459372359850652</v>
      </c>
      <c r="H56" s="2">
        <f>H35/O56</f>
        <v>0.6689058539775977</v>
      </c>
      <c r="I56" s="2">
        <f>I35/O56</f>
        <v>0.8963338443299811</v>
      </c>
      <c r="J56" s="2">
        <f>J35/O56</f>
        <v>1.3378117079551954</v>
      </c>
      <c r="K56" s="2">
        <f t="shared" si="15"/>
        <v>2.675623415910391</v>
      </c>
      <c r="L56" s="2">
        <f t="shared" si="16"/>
        <v>4.0134351238655865</v>
      </c>
      <c r="M56" s="2">
        <f t="shared" si="17"/>
        <v>5.351246831820782</v>
      </c>
      <c r="N56" t="s">
        <v>1142</v>
      </c>
      <c r="O56" s="2">
        <f>E56/13*0.9</f>
        <v>104.53846153846155</v>
      </c>
      <c r="Q56" s="10">
        <f>O56*O27</f>
        <v>532.1007692307693</v>
      </c>
      <c r="R56" s="4">
        <f t="shared" si="18"/>
        <v>6385.209230769231</v>
      </c>
      <c r="T56" t="s">
        <v>193</v>
      </c>
    </row>
    <row r="57" spans="1:20" ht="12.75">
      <c r="A57" t="s">
        <v>555</v>
      </c>
      <c r="F57" s="4">
        <f>E56*0.726</f>
        <v>1096.26</v>
      </c>
      <c r="G57" s="2">
        <f>G$35/$P57</f>
        <v>0.6142386170593185</v>
      </c>
      <c r="H57" s="2">
        <f>H$35/$P57</f>
        <v>0.9213579255889777</v>
      </c>
      <c r="I57" s="2">
        <f>I$35/$P57</f>
        <v>1.2346196202892303</v>
      </c>
      <c r="J57" s="2">
        <f>J$35/$P57</f>
        <v>1.8427158511779553</v>
      </c>
      <c r="K57" s="2">
        <f t="shared" si="15"/>
        <v>3.6854317023559107</v>
      </c>
      <c r="L57" s="2">
        <f t="shared" si="16"/>
        <v>5.528147553533866</v>
      </c>
      <c r="M57" s="2">
        <f t="shared" si="17"/>
        <v>7.370863404711821</v>
      </c>
      <c r="P57" s="2">
        <f>F57/13*0.9</f>
        <v>75.89492307692308</v>
      </c>
      <c r="Q57" s="10">
        <f>P57*O27</f>
        <v>386.30515846153844</v>
      </c>
      <c r="R57" s="4">
        <f t="shared" si="18"/>
        <v>4635.661901538461</v>
      </c>
      <c r="T57" t="s">
        <v>801</v>
      </c>
    </row>
    <row r="58" spans="1:20" ht="12.75">
      <c r="A58" t="s">
        <v>556</v>
      </c>
      <c r="C58" t="s">
        <v>373</v>
      </c>
      <c r="E58">
        <v>2100</v>
      </c>
      <c r="G58" s="2">
        <f>G35/O58</f>
        <v>0.32065010777973735</v>
      </c>
      <c r="H58" s="2">
        <f>H35/O58</f>
        <v>0.480975161669606</v>
      </c>
      <c r="I58" s="2">
        <f>I35/O58</f>
        <v>0.6445067166372722</v>
      </c>
      <c r="J58" s="2">
        <f>J35/O58</f>
        <v>0.961950323339212</v>
      </c>
      <c r="K58" s="2">
        <f t="shared" si="15"/>
        <v>1.923900646678424</v>
      </c>
      <c r="L58" s="2">
        <f t="shared" si="16"/>
        <v>2.885850970017636</v>
      </c>
      <c r="M58" s="2">
        <f t="shared" si="17"/>
        <v>3.847801293356848</v>
      </c>
      <c r="N58" t="s">
        <v>1142</v>
      </c>
      <c r="O58" s="2">
        <f>E58/13*0.9</f>
        <v>145.3846153846154</v>
      </c>
      <c r="Q58" s="10">
        <f>O58*O26</f>
        <v>485.58461538461535</v>
      </c>
      <c r="R58" s="4">
        <f t="shared" si="18"/>
        <v>5827.015384615384</v>
      </c>
      <c r="T58" t="s">
        <v>197</v>
      </c>
    </row>
    <row r="59" spans="1:20" ht="12.75">
      <c r="A59" t="s">
        <v>562</v>
      </c>
      <c r="C59" s="3"/>
      <c r="F59" s="4">
        <f>E58*0.726</f>
        <v>1524.6</v>
      </c>
      <c r="G59" s="2">
        <f>G$35/$P59</f>
        <v>0.4416668151236052</v>
      </c>
      <c r="H59" s="2">
        <f>H$35/$P59</f>
        <v>0.6625002226854079</v>
      </c>
      <c r="I59" s="2">
        <f>I$35/$P59</f>
        <v>0.8877502983984467</v>
      </c>
      <c r="J59" s="2">
        <f>J$35/$P59</f>
        <v>1.3250004453708157</v>
      </c>
      <c r="K59" s="2">
        <f t="shared" si="15"/>
        <v>2.6500008907416315</v>
      </c>
      <c r="L59" s="2">
        <f t="shared" si="16"/>
        <v>3.975001336112447</v>
      </c>
      <c r="M59" s="2">
        <f t="shared" si="17"/>
        <v>5.300001781483263</v>
      </c>
      <c r="P59" s="2">
        <f>F59/13*0.9</f>
        <v>105.54923076923076</v>
      </c>
      <c r="Q59" s="10">
        <f>P59*O26</f>
        <v>352.5344307692307</v>
      </c>
      <c r="R59" s="4">
        <f t="shared" si="18"/>
        <v>4230.413169230768</v>
      </c>
      <c r="T59" t="s">
        <v>198</v>
      </c>
    </row>
    <row r="60" spans="1:20" ht="12.75">
      <c r="A60" t="s">
        <v>563</v>
      </c>
      <c r="C60" t="s">
        <v>399</v>
      </c>
      <c r="E60">
        <v>2100</v>
      </c>
      <c r="G60" s="2">
        <f>G35/O60</f>
        <v>0.32065010777973735</v>
      </c>
      <c r="H60" s="2">
        <f>H35/O60</f>
        <v>0.480975161669606</v>
      </c>
      <c r="I60" s="2">
        <f>I35/O60</f>
        <v>0.6445067166372722</v>
      </c>
      <c r="J60" s="2">
        <f>J35/O60</f>
        <v>0.961950323339212</v>
      </c>
      <c r="K60" s="2">
        <f t="shared" si="15"/>
        <v>1.923900646678424</v>
      </c>
      <c r="L60" s="2">
        <f t="shared" si="16"/>
        <v>2.885850970017636</v>
      </c>
      <c r="M60" s="2">
        <f t="shared" si="17"/>
        <v>3.847801293356848</v>
      </c>
      <c r="N60" t="s">
        <v>1142</v>
      </c>
      <c r="O60" s="2">
        <f>E60/13*0.9</f>
        <v>145.3846153846154</v>
      </c>
      <c r="Q60" s="10">
        <f>O60*O27</f>
        <v>740.0076923076923</v>
      </c>
      <c r="R60" s="4">
        <f t="shared" si="18"/>
        <v>8880.092307692308</v>
      </c>
      <c r="T60" t="s">
        <v>576</v>
      </c>
    </row>
    <row r="61" spans="1:18" ht="12.75">
      <c r="A61" t="s">
        <v>565</v>
      </c>
      <c r="F61" s="4">
        <f>E60*0.726</f>
        <v>1524.6</v>
      </c>
      <c r="G61" s="2">
        <f>G$35/$P61</f>
        <v>0.4416668151236052</v>
      </c>
      <c r="H61" s="2">
        <f>H$35/$P61</f>
        <v>0.6625002226854079</v>
      </c>
      <c r="I61" s="2">
        <f>I$35/$P61</f>
        <v>0.8877502983984467</v>
      </c>
      <c r="J61" s="2">
        <f>J$35/$P61</f>
        <v>1.3250004453708157</v>
      </c>
      <c r="K61" s="2">
        <f t="shared" si="15"/>
        <v>2.6500008907416315</v>
      </c>
      <c r="L61" s="2">
        <f t="shared" si="16"/>
        <v>3.975001336112447</v>
      </c>
      <c r="M61" s="2">
        <f t="shared" si="17"/>
        <v>5.300001781483263</v>
      </c>
      <c r="P61" s="2">
        <f>F61/13*0.9</f>
        <v>105.54923076923076</v>
      </c>
      <c r="Q61" s="10">
        <f>P61*O27</f>
        <v>537.2455846153846</v>
      </c>
      <c r="R61" s="4">
        <f t="shared" si="18"/>
        <v>6446.947015384615</v>
      </c>
    </row>
    <row r="62" spans="1:13" ht="12.75">
      <c r="A62" t="s">
        <v>566</v>
      </c>
      <c r="E62" s="46" t="s">
        <v>656</v>
      </c>
      <c r="F62" s="46" t="s">
        <v>651</v>
      </c>
      <c r="G62" s="26"/>
      <c r="H62" s="26"/>
      <c r="I62" s="26"/>
      <c r="J62" s="26"/>
      <c r="K62" s="26"/>
      <c r="L62" s="26"/>
      <c r="M62" s="26"/>
    </row>
    <row r="63" spans="1:18" ht="12.75">
      <c r="A63" t="s">
        <v>569</v>
      </c>
      <c r="C63" t="s">
        <v>1143</v>
      </c>
      <c r="G63" s="25">
        <f>G35/O63</f>
        <v>0.7171937321937321</v>
      </c>
      <c r="H63" s="25">
        <f>H35/O63</f>
        <v>1.0757905982905982</v>
      </c>
      <c r="I63" s="25">
        <f>I35/O63</f>
        <v>1.4415594017094018</v>
      </c>
      <c r="J63" s="25">
        <f>J35/O63</f>
        <v>2.1515811965811964</v>
      </c>
      <c r="K63" s="25">
        <f>J63*2</f>
        <v>4.303162393162393</v>
      </c>
      <c r="L63" s="25">
        <f>J63*3</f>
        <v>6.45474358974359</v>
      </c>
      <c r="M63" s="25">
        <f>J63*M3</f>
        <v>15.061068376068375</v>
      </c>
      <c r="N63" t="s">
        <v>1142</v>
      </c>
      <c r="O63" s="4">
        <v>65</v>
      </c>
      <c r="P63" t="s">
        <v>372</v>
      </c>
      <c r="R63" t="s">
        <v>953</v>
      </c>
    </row>
    <row r="64" spans="3:18" ht="12.75">
      <c r="C64" t="s">
        <v>938</v>
      </c>
      <c r="E64">
        <f>SUM(B65:D65)</f>
        <v>830</v>
      </c>
      <c r="G64" s="25">
        <f aca="true" t="shared" si="19" ref="G64:M64">G35/$O64</f>
        <v>0.8112834052258415</v>
      </c>
      <c r="H64" s="25">
        <f t="shared" si="19"/>
        <v>1.2169251078387624</v>
      </c>
      <c r="I64" s="25">
        <f t="shared" si="19"/>
        <v>1.6306796445039418</v>
      </c>
      <c r="J64" s="25">
        <f t="shared" si="19"/>
        <v>2.433850215677525</v>
      </c>
      <c r="K64" s="25">
        <f t="shared" si="19"/>
        <v>4.86770043135505</v>
      </c>
      <c r="L64" s="25">
        <f t="shared" si="19"/>
        <v>7.301550647032575</v>
      </c>
      <c r="M64" s="25">
        <f t="shared" si="19"/>
        <v>17.036951509742675</v>
      </c>
      <c r="O64" s="2">
        <f>E64/13*0.9</f>
        <v>57.46153846153846</v>
      </c>
      <c r="R64" t="s">
        <v>945</v>
      </c>
    </row>
    <row r="65" spans="1:15" ht="12.75">
      <c r="A65" t="s">
        <v>802</v>
      </c>
      <c r="B65">
        <v>320</v>
      </c>
      <c r="C65">
        <v>360</v>
      </c>
      <c r="D65">
        <v>150</v>
      </c>
      <c r="G65" s="2"/>
      <c r="H65" s="2"/>
      <c r="I65" s="2"/>
      <c r="J65" s="22"/>
      <c r="K65" s="2"/>
      <c r="L65" s="2"/>
      <c r="M65" s="2"/>
      <c r="O65" s="2" t="s">
        <v>941</v>
      </c>
    </row>
    <row r="66" spans="5:15" ht="12.75">
      <c r="E66" s="8"/>
      <c r="F66" s="8"/>
      <c r="G66" s="39" t="s">
        <v>1021</v>
      </c>
      <c r="H66" s="39" t="s">
        <v>957</v>
      </c>
      <c r="I66" s="39" t="s">
        <v>958</v>
      </c>
      <c r="J66" s="43" t="s">
        <v>667</v>
      </c>
      <c r="K66" s="39" t="s">
        <v>967</v>
      </c>
      <c r="L66" s="39" t="s">
        <v>968</v>
      </c>
      <c r="M66" s="45">
        <f>M3</f>
        <v>7</v>
      </c>
      <c r="N66" s="39" t="s">
        <v>1026</v>
      </c>
      <c r="O66" t="s">
        <v>949</v>
      </c>
    </row>
    <row r="67" spans="1:15" ht="12.75">
      <c r="A67" t="s">
        <v>695</v>
      </c>
      <c r="O67" t="s">
        <v>454</v>
      </c>
    </row>
    <row r="68" spans="1:11" ht="12.75">
      <c r="A68" t="s">
        <v>701</v>
      </c>
      <c r="G68" s="2"/>
      <c r="H68" s="2"/>
      <c r="I68" s="2"/>
      <c r="J68" s="2"/>
      <c r="K68" s="3"/>
    </row>
    <row r="69" spans="1:16" ht="12.75">
      <c r="A69" t="s">
        <v>455</v>
      </c>
      <c r="O69" s="2"/>
      <c r="P69" t="s">
        <v>634</v>
      </c>
    </row>
    <row r="70" spans="1:16" ht="12.75">
      <c r="A70" t="s">
        <v>536</v>
      </c>
      <c r="O70" s="2"/>
      <c r="P70" t="s">
        <v>635</v>
      </c>
    </row>
    <row r="71" spans="1:15" ht="12.75">
      <c r="A71" t="s">
        <v>645</v>
      </c>
      <c r="O71" s="2"/>
    </row>
    <row r="72" spans="1:15" ht="12.75">
      <c r="A72" t="s">
        <v>702</v>
      </c>
      <c r="O72" s="2"/>
    </row>
    <row r="73" spans="1:15" ht="12.75">
      <c r="A73" t="s">
        <v>1093</v>
      </c>
      <c r="M73" t="s">
        <v>933</v>
      </c>
      <c r="O73" s="2"/>
    </row>
    <row r="74" spans="1:13" ht="12.75">
      <c r="A74" t="s">
        <v>703</v>
      </c>
      <c r="M74" t="s">
        <v>937</v>
      </c>
    </row>
    <row r="75" spans="1:12" ht="12.75">
      <c r="A75" t="s">
        <v>704</v>
      </c>
      <c r="L75" t="s">
        <v>1094</v>
      </c>
    </row>
    <row r="76" spans="1:12" ht="12.75">
      <c r="A76" t="s">
        <v>457</v>
      </c>
      <c r="L76" t="s">
        <v>1104</v>
      </c>
    </row>
    <row r="77" ht="12.75">
      <c r="L77" t="s">
        <v>1095</v>
      </c>
    </row>
    <row r="78" spans="1:12" ht="12.75">
      <c r="A78" t="s">
        <v>429</v>
      </c>
      <c r="L78" t="s">
        <v>469</v>
      </c>
    </row>
    <row r="79" spans="1:12" ht="12.75">
      <c r="A79" t="s">
        <v>929</v>
      </c>
      <c r="L79" t="s">
        <v>112</v>
      </c>
    </row>
    <row r="80" ht="12.75">
      <c r="A80" t="s">
        <v>930</v>
      </c>
    </row>
    <row r="81" spans="1:12" ht="12.75">
      <c r="A81" t="s">
        <v>538</v>
      </c>
      <c r="L81" t="s">
        <v>13</v>
      </c>
    </row>
    <row r="82" spans="1:12" ht="12.75">
      <c r="A82" t="s">
        <v>932</v>
      </c>
      <c r="L82" t="s">
        <v>1106</v>
      </c>
    </row>
    <row r="83" spans="1:12" ht="12.75">
      <c r="A83" t="s">
        <v>696</v>
      </c>
      <c r="L83" t="s">
        <v>577</v>
      </c>
    </row>
    <row r="85" ht="12.75">
      <c r="A85" t="s">
        <v>697</v>
      </c>
    </row>
    <row r="86" ht="12.75">
      <c r="A86" t="s">
        <v>698</v>
      </c>
    </row>
    <row r="87" ht="12.75">
      <c r="A87" t="s">
        <v>637</v>
      </c>
    </row>
    <row r="88" ht="12.75">
      <c r="A88" t="s">
        <v>1169</v>
      </c>
    </row>
    <row r="89" spans="12:21" ht="12.75">
      <c r="L89" t="s">
        <v>580</v>
      </c>
      <c r="U89" t="s">
        <v>1175</v>
      </c>
    </row>
    <row r="90" spans="1:21" ht="12.75">
      <c r="A90" s="11" t="s">
        <v>16</v>
      </c>
      <c r="B90" s="8"/>
      <c r="C90" s="8"/>
      <c r="G90" t="s">
        <v>973</v>
      </c>
      <c r="L90" t="s">
        <v>578</v>
      </c>
      <c r="U90" t="s">
        <v>1178</v>
      </c>
    </row>
    <row r="91" spans="7:21" ht="12.75">
      <c r="G91" t="s">
        <v>983</v>
      </c>
      <c r="L91" t="s">
        <v>1173</v>
      </c>
      <c r="U91" t="s">
        <v>1179</v>
      </c>
    </row>
    <row r="92" spans="1:21" ht="12.75">
      <c r="A92" t="s">
        <v>1158</v>
      </c>
      <c r="E92" t="s">
        <v>1161</v>
      </c>
      <c r="G92">
        <f>87710/1493</f>
        <v>58.747488278633625</v>
      </c>
      <c r="H92" t="s">
        <v>984</v>
      </c>
      <c r="L92" t="s">
        <v>1174</v>
      </c>
      <c r="U92" t="s">
        <v>1180</v>
      </c>
    </row>
    <row r="93" spans="1:21" ht="12.75">
      <c r="A93" t="s">
        <v>1159</v>
      </c>
      <c r="C93" t="s">
        <v>1160</v>
      </c>
      <c r="E93" t="s">
        <v>1162</v>
      </c>
      <c r="L93" t="s">
        <v>1097</v>
      </c>
      <c r="U93" t="s">
        <v>581</v>
      </c>
    </row>
    <row r="94" spans="1:21" ht="12.75">
      <c r="A94" s="9"/>
      <c r="E94" s="10"/>
      <c r="G94" s="10"/>
      <c r="L94" t="s">
        <v>1098</v>
      </c>
      <c r="U94" t="s">
        <v>582</v>
      </c>
    </row>
    <row r="95" spans="1:12" ht="12.75">
      <c r="A95" s="9">
        <v>0.1</v>
      </c>
      <c r="C95">
        <v>7000</v>
      </c>
      <c r="E95" s="10">
        <f aca="true" t="shared" si="20" ref="E95:E104">C95/365</f>
        <v>19.17808219178082</v>
      </c>
      <c r="G95" s="10" t="s">
        <v>3</v>
      </c>
      <c r="L95" t="s">
        <v>1110</v>
      </c>
    </row>
    <row r="96" spans="1:21" ht="12.75">
      <c r="A96" s="9">
        <v>0.2</v>
      </c>
      <c r="C96">
        <v>3300</v>
      </c>
      <c r="E96" s="10">
        <f t="shared" si="20"/>
        <v>9.04109589041096</v>
      </c>
      <c r="G96" s="10" t="s">
        <v>2</v>
      </c>
      <c r="L96" t="s">
        <v>1136</v>
      </c>
      <c r="U96" t="s">
        <v>583</v>
      </c>
    </row>
    <row r="97" spans="1:21" ht="12.75">
      <c r="A97" s="9">
        <v>0.3</v>
      </c>
      <c r="C97">
        <v>2050</v>
      </c>
      <c r="E97" s="10">
        <f t="shared" si="20"/>
        <v>5.616438356164384</v>
      </c>
      <c r="G97" s="10"/>
      <c r="L97" t="s">
        <v>1099</v>
      </c>
      <c r="U97" t="s">
        <v>584</v>
      </c>
    </row>
    <row r="98" spans="1:21" ht="12.75">
      <c r="A98" s="9">
        <v>0.4</v>
      </c>
      <c r="C98">
        <v>1475</v>
      </c>
      <c r="E98" s="10">
        <f t="shared" si="20"/>
        <v>4.041095890410959</v>
      </c>
      <c r="G98" s="10"/>
      <c r="L98" t="s">
        <v>1138</v>
      </c>
      <c r="U98" t="s">
        <v>585</v>
      </c>
    </row>
    <row r="99" spans="1:21" ht="12.75">
      <c r="A99" s="9">
        <v>0.5</v>
      </c>
      <c r="C99">
        <v>1150</v>
      </c>
      <c r="E99" s="10">
        <f t="shared" si="20"/>
        <v>3.1506849315068495</v>
      </c>
      <c r="G99" s="10" t="s">
        <v>589</v>
      </c>
      <c r="L99" t="s">
        <v>312</v>
      </c>
      <c r="U99" t="s">
        <v>582</v>
      </c>
    </row>
    <row r="100" spans="1:21" ht="12.75">
      <c r="A100" s="9">
        <v>0.6</v>
      </c>
      <c r="C100">
        <v>950</v>
      </c>
      <c r="E100" s="10">
        <f t="shared" si="20"/>
        <v>2.6027397260273974</v>
      </c>
      <c r="G100" s="10" t="s">
        <v>590</v>
      </c>
      <c r="L100" t="s">
        <v>1100</v>
      </c>
      <c r="U100" t="s">
        <v>586</v>
      </c>
    </row>
    <row r="101" spans="1:21" ht="12.75">
      <c r="A101" s="9">
        <v>0.7</v>
      </c>
      <c r="C101">
        <v>780</v>
      </c>
      <c r="E101" s="10">
        <f t="shared" si="20"/>
        <v>2.136986301369863</v>
      </c>
      <c r="G101" s="10" t="s">
        <v>591</v>
      </c>
      <c r="L101" t="s">
        <v>1139</v>
      </c>
      <c r="U101" t="s">
        <v>587</v>
      </c>
    </row>
    <row r="102" spans="1:21" ht="12.75">
      <c r="A102" s="9">
        <v>0.8</v>
      </c>
      <c r="C102">
        <v>675</v>
      </c>
      <c r="E102" s="10">
        <f t="shared" si="20"/>
        <v>1.8493150684931507</v>
      </c>
      <c r="G102" s="10" t="s">
        <v>592</v>
      </c>
      <c r="L102" t="s">
        <v>1140</v>
      </c>
      <c r="U102" t="s">
        <v>588</v>
      </c>
    </row>
    <row r="103" spans="1:21" ht="12.75">
      <c r="A103" s="9">
        <v>0.9</v>
      </c>
      <c r="C103">
        <v>550</v>
      </c>
      <c r="E103" s="10">
        <f t="shared" si="20"/>
        <v>1.5068493150684932</v>
      </c>
      <c r="G103" s="10" t="s">
        <v>595</v>
      </c>
      <c r="L103" t="s">
        <v>1141</v>
      </c>
      <c r="U103" t="s">
        <v>582</v>
      </c>
    </row>
    <row r="104" spans="1:12" ht="12.75">
      <c r="A104" s="9">
        <v>1</v>
      </c>
      <c r="C104">
        <v>500</v>
      </c>
      <c r="E104" s="10">
        <f t="shared" si="20"/>
        <v>1.36986301369863</v>
      </c>
      <c r="G104" s="10" t="s">
        <v>596</v>
      </c>
      <c r="L104" t="s">
        <v>206</v>
      </c>
    </row>
    <row r="105" spans="7:12" ht="12.75">
      <c r="G105" t="s">
        <v>597</v>
      </c>
      <c r="L105" t="s">
        <v>207</v>
      </c>
    </row>
    <row r="106" spans="1:12" ht="12.75">
      <c r="A106" t="s">
        <v>601</v>
      </c>
      <c r="L106" t="s">
        <v>1101</v>
      </c>
    </row>
    <row r="107" spans="1:12" ht="12.75">
      <c r="A107" t="s">
        <v>607</v>
      </c>
      <c r="L107" t="s">
        <v>1111</v>
      </c>
    </row>
    <row r="108" spans="1:12" ht="12.75">
      <c r="A108" t="s">
        <v>608</v>
      </c>
      <c r="L108" t="s">
        <v>1112</v>
      </c>
    </row>
    <row r="109" spans="1:12" ht="12.75">
      <c r="A109" t="s">
        <v>610</v>
      </c>
      <c r="L109" t="s">
        <v>1117</v>
      </c>
    </row>
    <row r="110" spans="1:12" ht="12.75">
      <c r="A110" t="s">
        <v>615</v>
      </c>
      <c r="L110" t="s">
        <v>1116</v>
      </c>
    </row>
    <row r="111" spans="1:12" ht="12.75">
      <c r="A111" t="s">
        <v>616</v>
      </c>
      <c r="L111" t="s">
        <v>14</v>
      </c>
    </row>
    <row r="112" spans="4:13" ht="12.75">
      <c r="D112" s="1"/>
      <c r="E112" s="1"/>
      <c r="F112" s="1"/>
      <c r="G112" s="1"/>
      <c r="H112" s="1"/>
      <c r="I112" s="1"/>
      <c r="J112" s="1"/>
      <c r="K112" s="1"/>
      <c r="L112" t="s">
        <v>15</v>
      </c>
      <c r="M112" s="1"/>
    </row>
    <row r="113" spans="1:13" ht="12.75">
      <c r="A113" t="s">
        <v>617</v>
      </c>
      <c r="D113" s="2"/>
      <c r="E113" s="2"/>
      <c r="F113" s="4"/>
      <c r="G113" s="2"/>
      <c r="H113" s="2"/>
      <c r="I113" s="2"/>
      <c r="J113" s="2"/>
      <c r="K113" s="2"/>
      <c r="L113" s="2"/>
      <c r="M113" t="s">
        <v>1135</v>
      </c>
    </row>
    <row r="114" spans="1:13" ht="12.75">
      <c r="A114" t="s">
        <v>44</v>
      </c>
      <c r="D114" s="2"/>
      <c r="E114" s="2"/>
      <c r="F114" s="4"/>
      <c r="G114" s="2"/>
      <c r="H114" s="2"/>
      <c r="I114" s="2"/>
      <c r="J114" s="2"/>
      <c r="K114" s="2"/>
      <c r="L114" s="2"/>
      <c r="M114" t="s">
        <v>1124</v>
      </c>
    </row>
    <row r="115" spans="1:13" ht="12.75">
      <c r="A115" t="s">
        <v>308</v>
      </c>
      <c r="D115" s="2"/>
      <c r="E115" s="2"/>
      <c r="F115" s="4"/>
      <c r="G115" s="2"/>
      <c r="H115" s="2"/>
      <c r="I115" s="2"/>
      <c r="J115" s="2"/>
      <c r="K115" s="2"/>
      <c r="L115" s="2"/>
      <c r="M115" t="s">
        <v>30</v>
      </c>
    </row>
    <row r="116" spans="4:13" ht="12.75">
      <c r="D116" s="2"/>
      <c r="E116" s="2"/>
      <c r="F116" s="4"/>
      <c r="G116" s="2"/>
      <c r="H116" s="2"/>
      <c r="I116" s="2"/>
      <c r="J116" s="2"/>
      <c r="K116" s="2"/>
      <c r="L116" s="2"/>
      <c r="M116" t="s">
        <v>31</v>
      </c>
    </row>
    <row r="117" spans="1:13" ht="12.75">
      <c r="A117" t="s">
        <v>471</v>
      </c>
      <c r="D117" s="2"/>
      <c r="E117" s="2"/>
      <c r="F117" s="4"/>
      <c r="G117" s="2"/>
      <c r="H117" s="2"/>
      <c r="I117" s="2"/>
      <c r="J117" s="2"/>
      <c r="K117" s="2"/>
      <c r="L117" s="2"/>
      <c r="M117" t="s">
        <v>1125</v>
      </c>
    </row>
    <row r="118" spans="1:13" ht="12.75">
      <c r="A118" t="s">
        <v>470</v>
      </c>
      <c r="D118" s="2"/>
      <c r="E118" s="2"/>
      <c r="F118" s="4"/>
      <c r="G118" s="2"/>
      <c r="H118" s="2"/>
      <c r="I118" s="2"/>
      <c r="J118" s="2"/>
      <c r="K118" s="2"/>
      <c r="L118" s="2"/>
      <c r="M118" t="s">
        <v>1127</v>
      </c>
    </row>
    <row r="119" spans="1:13" ht="12.75">
      <c r="A119" t="s">
        <v>483</v>
      </c>
      <c r="D119" s="2"/>
      <c r="E119" s="2"/>
      <c r="F119" s="4"/>
      <c r="G119" s="2"/>
      <c r="H119" s="2"/>
      <c r="I119" s="2"/>
      <c r="J119" s="2"/>
      <c r="K119" s="2"/>
      <c r="L119" s="2"/>
      <c r="M119" t="s">
        <v>1128</v>
      </c>
    </row>
    <row r="120" spans="1:13" ht="12.75">
      <c r="A120" t="s">
        <v>484</v>
      </c>
      <c r="D120" s="2"/>
      <c r="E120" s="2"/>
      <c r="F120" s="4"/>
      <c r="G120" s="2"/>
      <c r="H120" s="2"/>
      <c r="I120" s="2"/>
      <c r="J120" s="2"/>
      <c r="K120" s="2"/>
      <c r="L120" s="2"/>
      <c r="M120" t="s">
        <v>32</v>
      </c>
    </row>
    <row r="121" spans="1:13" ht="12.75">
      <c r="A121" t="s">
        <v>486</v>
      </c>
      <c r="D121" s="2"/>
      <c r="E121" s="2"/>
      <c r="F121" s="4"/>
      <c r="G121" s="2"/>
      <c r="H121" s="2"/>
      <c r="I121" s="2"/>
      <c r="J121" s="2"/>
      <c r="K121" s="2"/>
      <c r="L121" s="2"/>
      <c r="M121" t="s">
        <v>1126</v>
      </c>
    </row>
    <row r="122" spans="1:13" ht="12.75">
      <c r="A122" t="s">
        <v>485</v>
      </c>
      <c r="D122" s="2"/>
      <c r="E122" s="2"/>
      <c r="F122" s="4"/>
      <c r="G122" s="2"/>
      <c r="H122" s="2"/>
      <c r="I122" s="2"/>
      <c r="J122" s="2"/>
      <c r="K122" s="2"/>
      <c r="L122" s="2"/>
      <c r="M122" t="s">
        <v>41</v>
      </c>
    </row>
    <row r="123" spans="1:13" ht="12.75">
      <c r="A123" t="s">
        <v>1181</v>
      </c>
      <c r="C123" s="2"/>
      <c r="D123" s="2"/>
      <c r="E123" s="2"/>
      <c r="F123" s="4"/>
      <c r="G123" s="2"/>
      <c r="H123" s="2"/>
      <c r="I123" s="2"/>
      <c r="J123" s="2"/>
      <c r="K123" s="2"/>
      <c r="L123" s="2"/>
      <c r="M123" t="s">
        <v>1129</v>
      </c>
    </row>
    <row r="124" spans="3:13" ht="12.75">
      <c r="C124" s="2"/>
      <c r="D124" s="2"/>
      <c r="E124" s="2"/>
      <c r="F124" s="4"/>
      <c r="G124" s="2"/>
      <c r="H124" s="2"/>
      <c r="I124" s="2"/>
      <c r="J124" s="2"/>
      <c r="K124" s="2"/>
      <c r="L124" s="2"/>
      <c r="M124" t="s">
        <v>631</v>
      </c>
    </row>
    <row r="125" spans="1:13" ht="12.75">
      <c r="A125" s="8" t="s">
        <v>49</v>
      </c>
      <c r="M125" t="s">
        <v>1131</v>
      </c>
    </row>
    <row r="126" spans="1:13" ht="12.75">
      <c r="A126" s="3">
        <v>210</v>
      </c>
      <c r="B126" t="s">
        <v>57</v>
      </c>
      <c r="M126" t="s">
        <v>1132</v>
      </c>
    </row>
    <row r="127" spans="1:13" ht="12.75">
      <c r="A127" s="3">
        <v>80</v>
      </c>
      <c r="B127" t="s">
        <v>904</v>
      </c>
      <c r="M127" t="s">
        <v>1133</v>
      </c>
    </row>
    <row r="128" spans="1:13" ht="12.75">
      <c r="A128" s="3">
        <v>1138</v>
      </c>
      <c r="B128" t="s">
        <v>433</v>
      </c>
      <c r="M128" t="s">
        <v>1134</v>
      </c>
    </row>
    <row r="129" spans="1:13" ht="12.75">
      <c r="A129" s="3">
        <v>392</v>
      </c>
      <c r="B129" t="s">
        <v>1048</v>
      </c>
      <c r="M129" t="s">
        <v>208</v>
      </c>
    </row>
    <row r="130" spans="1:13" ht="12.75">
      <c r="A130" s="3">
        <v>430</v>
      </c>
      <c r="B130" t="s">
        <v>487</v>
      </c>
      <c r="M130" t="s">
        <v>210</v>
      </c>
    </row>
    <row r="131" spans="1:13" ht="12.75">
      <c r="A131" s="3">
        <v>410</v>
      </c>
      <c r="B131" t="s">
        <v>920</v>
      </c>
      <c r="M131" t="s">
        <v>209</v>
      </c>
    </row>
    <row r="132" spans="1:13" ht="12.75">
      <c r="A132" s="3">
        <v>35</v>
      </c>
      <c r="B132" t="s">
        <v>872</v>
      </c>
      <c r="M132" t="s">
        <v>309</v>
      </c>
    </row>
    <row r="133" spans="2:13" ht="12.75">
      <c r="B133" t="s">
        <v>873</v>
      </c>
      <c r="M133" t="s">
        <v>310</v>
      </c>
    </row>
    <row r="134" spans="1:13" ht="12.75">
      <c r="A134" s="3"/>
      <c r="M134" t="s">
        <v>311</v>
      </c>
    </row>
    <row r="135" spans="1:2" ht="12.75">
      <c r="A135" s="3">
        <f>SUM(A126:A134)</f>
        <v>2695</v>
      </c>
      <c r="B135" t="s">
        <v>1182</v>
      </c>
    </row>
    <row r="136" spans="1:3" ht="12.75">
      <c r="A136" s="3"/>
      <c r="C136" t="s">
        <v>1183</v>
      </c>
    </row>
    <row r="137" spans="2:12" ht="12.75">
      <c r="B137" t="s">
        <v>24</v>
      </c>
      <c r="L137" s="3"/>
    </row>
    <row r="138" spans="2:13" ht="12.75">
      <c r="B138" t="s">
        <v>48</v>
      </c>
      <c r="L138" s="3"/>
      <c r="M138" t="s">
        <v>321</v>
      </c>
    </row>
    <row r="139" spans="2:13" ht="12.75">
      <c r="B139" t="s">
        <v>25</v>
      </c>
      <c r="M139" t="s">
        <v>322</v>
      </c>
    </row>
    <row r="140" spans="2:13" ht="12.75">
      <c r="B140" t="s">
        <v>28</v>
      </c>
      <c r="M140" t="s">
        <v>323</v>
      </c>
    </row>
    <row r="141" spans="2:13" ht="12.75">
      <c r="B141" t="s">
        <v>50</v>
      </c>
      <c r="M141" t="s">
        <v>332</v>
      </c>
    </row>
    <row r="142" spans="2:13" ht="12.75">
      <c r="B142" t="s">
        <v>29</v>
      </c>
      <c r="M142" t="s">
        <v>320</v>
      </c>
    </row>
    <row r="143" ht="12.75">
      <c r="B143" t="s">
        <v>51</v>
      </c>
    </row>
    <row r="144" spans="2:13" ht="12.75">
      <c r="B144" t="s">
        <v>488</v>
      </c>
      <c r="M144" t="s">
        <v>264</v>
      </c>
    </row>
    <row r="145" ht="12.75">
      <c r="M145" s="21" t="s">
        <v>263</v>
      </c>
    </row>
    <row r="146" spans="2:13" ht="12.75">
      <c r="B146" t="s">
        <v>52</v>
      </c>
      <c r="M146" t="s">
        <v>313</v>
      </c>
    </row>
    <row r="147" spans="2:13" ht="12.75">
      <c r="B147" t="s">
        <v>53</v>
      </c>
      <c r="M147" t="s">
        <v>265</v>
      </c>
    </row>
    <row r="148" spans="2:13" ht="12.75">
      <c r="B148" t="s">
        <v>55</v>
      </c>
      <c r="G148" s="2"/>
      <c r="H148" s="2"/>
      <c r="I148" s="2"/>
      <c r="J148" s="2"/>
      <c r="K148" s="2"/>
      <c r="L148" s="2"/>
      <c r="M148" t="s">
        <v>267</v>
      </c>
    </row>
    <row r="149" spans="2:12" ht="12.75">
      <c r="B149" t="s">
        <v>56</v>
      </c>
      <c r="G149" s="2"/>
      <c r="H149" s="2"/>
      <c r="I149" s="2"/>
      <c r="J149" s="2"/>
      <c r="K149" s="2"/>
      <c r="L149" s="2"/>
    </row>
    <row r="150" ht="12.75">
      <c r="M150" t="s">
        <v>338</v>
      </c>
    </row>
    <row r="151" spans="2:13" ht="12.75">
      <c r="B151" t="s">
        <v>62</v>
      </c>
      <c r="M151" t="s">
        <v>336</v>
      </c>
    </row>
    <row r="152" spans="2:13" ht="12.75">
      <c r="B152" t="s">
        <v>65</v>
      </c>
      <c r="M152" t="s">
        <v>1049</v>
      </c>
    </row>
    <row r="153" spans="2:13" ht="12.75">
      <c r="B153" t="s">
        <v>117</v>
      </c>
      <c r="M153" t="s">
        <v>339</v>
      </c>
    </row>
    <row r="154" spans="2:13" ht="12.75">
      <c r="B154" t="s">
        <v>163</v>
      </c>
      <c r="M154" t="s">
        <v>340</v>
      </c>
    </row>
    <row r="155" spans="2:13" ht="12.75">
      <c r="B155" t="s">
        <v>165</v>
      </c>
      <c r="M155" t="s">
        <v>342</v>
      </c>
    </row>
    <row r="156" ht="12.75">
      <c r="M156" t="s">
        <v>344</v>
      </c>
    </row>
    <row r="157" spans="2:13" ht="12.75">
      <c r="B157" t="s">
        <v>125</v>
      </c>
      <c r="M157" t="s">
        <v>345</v>
      </c>
    </row>
    <row r="158" spans="2:13" ht="12.75">
      <c r="B158" t="s">
        <v>126</v>
      </c>
      <c r="M158" t="s">
        <v>346</v>
      </c>
    </row>
    <row r="160" spans="2:16" ht="12.75">
      <c r="B160" t="s">
        <v>1050</v>
      </c>
      <c r="I160" s="29"/>
      <c r="J160" s="17"/>
      <c r="P160" s="20" t="s">
        <v>366</v>
      </c>
    </row>
    <row r="161" spans="2:21" ht="12.75">
      <c r="B161" t="s">
        <v>629</v>
      </c>
      <c r="O161" t="s">
        <v>925</v>
      </c>
      <c r="P161" s="20"/>
      <c r="Q161" t="s">
        <v>924</v>
      </c>
      <c r="R161" t="s">
        <v>886</v>
      </c>
      <c r="S161" t="s">
        <v>928</v>
      </c>
      <c r="U161" t="s">
        <v>1028</v>
      </c>
    </row>
    <row r="162" spans="2:21" ht="12.75">
      <c r="B162" t="s">
        <v>630</v>
      </c>
      <c r="L162" t="s">
        <v>537</v>
      </c>
      <c r="P162" t="s">
        <v>113</v>
      </c>
      <c r="Q162">
        <v>3.34</v>
      </c>
      <c r="R162">
        <v>4.09</v>
      </c>
      <c r="S162">
        <v>4.74</v>
      </c>
      <c r="U162">
        <v>3.67</v>
      </c>
    </row>
    <row r="163" ht="12.75">
      <c r="B163" t="s">
        <v>1052</v>
      </c>
    </row>
    <row r="164" spans="2:21" ht="12.75">
      <c r="B164" t="s">
        <v>1053</v>
      </c>
      <c r="P164" t="s">
        <v>255</v>
      </c>
      <c r="Q164">
        <v>5.09</v>
      </c>
      <c r="R164">
        <v>5.16</v>
      </c>
      <c r="S164">
        <v>6.74</v>
      </c>
      <c r="U164">
        <v>4.62</v>
      </c>
    </row>
    <row r="165" ht="12.75">
      <c r="B165" t="s">
        <v>128</v>
      </c>
    </row>
    <row r="166" spans="2:16" ht="12.75">
      <c r="B166" t="s">
        <v>212</v>
      </c>
      <c r="P166" t="s">
        <v>368</v>
      </c>
    </row>
    <row r="167" ht="12.75">
      <c r="B167" t="s">
        <v>129</v>
      </c>
    </row>
    <row r="168" spans="2:16" ht="12.75">
      <c r="B168" t="s">
        <v>216</v>
      </c>
      <c r="P168" t="s">
        <v>893</v>
      </c>
    </row>
    <row r="169" spans="2:16" ht="12.75">
      <c r="B169" t="s">
        <v>139</v>
      </c>
      <c r="P169" t="s">
        <v>262</v>
      </c>
    </row>
    <row r="170" spans="2:16" ht="12.75">
      <c r="B170" t="s">
        <v>140</v>
      </c>
      <c r="P170" t="s">
        <v>367</v>
      </c>
    </row>
    <row r="171" ht="12.75">
      <c r="B171" t="s">
        <v>217</v>
      </c>
    </row>
    <row r="172" spans="2:16" ht="12.75">
      <c r="B172" t="s">
        <v>143</v>
      </c>
      <c r="P172" t="s">
        <v>245</v>
      </c>
    </row>
    <row r="173" spans="2:16" ht="12.75">
      <c r="B173" t="s">
        <v>144</v>
      </c>
      <c r="P173" t="s">
        <v>246</v>
      </c>
    </row>
    <row r="174" ht="12.75">
      <c r="P174" t="s">
        <v>290</v>
      </c>
    </row>
    <row r="175" spans="2:16" ht="12.75">
      <c r="B175" t="s">
        <v>287</v>
      </c>
      <c r="P175" t="s">
        <v>291</v>
      </c>
    </row>
    <row r="176" ht="12.75">
      <c r="B176" t="s">
        <v>167</v>
      </c>
    </row>
    <row r="177" spans="2:13" ht="12.75">
      <c r="B177" t="s">
        <v>166</v>
      </c>
      <c r="L177" t="s">
        <v>925</v>
      </c>
      <c r="M177" t="s">
        <v>927</v>
      </c>
    </row>
    <row r="178" spans="2:13" ht="12.75">
      <c r="B178" t="s">
        <v>288</v>
      </c>
      <c r="M178" t="s">
        <v>263</v>
      </c>
    </row>
    <row r="179" ht="12.75">
      <c r="B179" t="s">
        <v>314</v>
      </c>
    </row>
    <row r="180" ht="12.75">
      <c r="B180" t="s">
        <v>315</v>
      </c>
    </row>
    <row r="182" spans="3:14" ht="12.75">
      <c r="C182" s="8" t="s">
        <v>490</v>
      </c>
      <c r="H182" s="2"/>
      <c r="I182" s="2"/>
      <c r="J182" s="2"/>
      <c r="K182" s="2"/>
      <c r="L182" s="2"/>
      <c r="M182" s="2"/>
      <c r="N182" s="10"/>
    </row>
    <row r="183" spans="1:13" ht="12.75">
      <c r="A183" s="15"/>
      <c r="C183" t="s">
        <v>414</v>
      </c>
      <c r="E183" t="s">
        <v>420</v>
      </c>
      <c r="G183" s="2" t="s">
        <v>628</v>
      </c>
      <c r="H183" s="2"/>
      <c r="I183" s="2"/>
      <c r="J183" s="2"/>
      <c r="K183" s="2"/>
      <c r="L183" s="2"/>
      <c r="M183" s="2"/>
    </row>
    <row r="184" spans="3:16" ht="12.75">
      <c r="C184" t="s">
        <v>373</v>
      </c>
      <c r="E184">
        <v>400</v>
      </c>
      <c r="F184" t="s">
        <v>201</v>
      </c>
      <c r="G184" s="2">
        <f>G$35/$O$184</f>
        <v>1.683413065843621</v>
      </c>
      <c r="H184" s="2">
        <f>H$35/$O$184</f>
        <v>2.5251195987654316</v>
      </c>
      <c r="I184" s="2">
        <f>I$35/$O$184</f>
        <v>3.383660262345679</v>
      </c>
      <c r="J184" s="2">
        <f>J$35/$O$184</f>
        <v>5.050239197530863</v>
      </c>
      <c r="K184" s="2">
        <f>J184*2</f>
        <v>10.100478395061726</v>
      </c>
      <c r="L184" s="2">
        <f>J184*3</f>
        <v>15.150717592592589</v>
      </c>
      <c r="M184" s="2">
        <f>J184*4</f>
        <v>20.200956790123453</v>
      </c>
      <c r="N184" t="s">
        <v>1142</v>
      </c>
      <c r="O184">
        <f>E184/13*0.9</f>
        <v>27.692307692307693</v>
      </c>
      <c r="P184" t="s">
        <v>370</v>
      </c>
    </row>
    <row r="185" spans="3:16" ht="12.75">
      <c r="C185" t="s">
        <v>399</v>
      </c>
      <c r="E185">
        <v>400</v>
      </c>
      <c r="F185" t="s">
        <v>201</v>
      </c>
      <c r="G185" s="2">
        <f>G$35/$O$184</f>
        <v>1.683413065843621</v>
      </c>
      <c r="H185" s="2">
        <f>H$35/$O185</f>
        <v>2.5251195987654316</v>
      </c>
      <c r="I185" s="2">
        <f>I$35/$O185</f>
        <v>3.383660262345679</v>
      </c>
      <c r="J185" s="2">
        <f>J$35/$O185</f>
        <v>5.050239197530863</v>
      </c>
      <c r="K185" s="2">
        <f>J185*2</f>
        <v>10.100478395061726</v>
      </c>
      <c r="L185" s="2">
        <f>J185*3</f>
        <v>15.150717592592589</v>
      </c>
      <c r="M185" s="2">
        <f>J185*4</f>
        <v>20.200956790123453</v>
      </c>
      <c r="N185" t="s">
        <v>1142</v>
      </c>
      <c r="O185">
        <f>E185/13*0.9</f>
        <v>27.692307692307693</v>
      </c>
      <c r="P185" t="s">
        <v>370</v>
      </c>
    </row>
    <row r="186" spans="3:19" ht="12.75">
      <c r="C186" t="s">
        <v>373</v>
      </c>
      <c r="E186">
        <v>800</v>
      </c>
      <c r="F186" t="s">
        <v>201</v>
      </c>
      <c r="G186" s="2">
        <f aca="true" t="shared" si="21" ref="G186:J187">G$35/$O$186</f>
        <v>0.8417065329218105</v>
      </c>
      <c r="H186" s="2">
        <f t="shared" si="21"/>
        <v>1.2625597993827158</v>
      </c>
      <c r="I186" s="2">
        <f t="shared" si="21"/>
        <v>1.6918301311728394</v>
      </c>
      <c r="J186" s="2">
        <f t="shared" si="21"/>
        <v>2.5251195987654316</v>
      </c>
      <c r="K186" s="2">
        <f>J186*2</f>
        <v>5.050239197530863</v>
      </c>
      <c r="L186" s="2">
        <f>J186*3</f>
        <v>7.575358796296294</v>
      </c>
      <c r="M186" s="2">
        <f>J186*4</f>
        <v>10.100478395061726</v>
      </c>
      <c r="N186" t="s">
        <v>1142</v>
      </c>
      <c r="O186">
        <f>E186/13*0.9</f>
        <v>55.38461538461539</v>
      </c>
      <c r="S186" s="20" t="s">
        <v>366</v>
      </c>
    </row>
    <row r="187" spans="3:20" ht="12.75">
      <c r="C187" t="s">
        <v>399</v>
      </c>
      <c r="E187">
        <v>800</v>
      </c>
      <c r="F187" t="s">
        <v>201</v>
      </c>
      <c r="G187" s="2">
        <f t="shared" si="21"/>
        <v>0.8417065329218105</v>
      </c>
      <c r="H187" s="2">
        <f t="shared" si="21"/>
        <v>1.2625597993827158</v>
      </c>
      <c r="I187" s="2">
        <f t="shared" si="21"/>
        <v>1.6918301311728394</v>
      </c>
      <c r="J187" s="2">
        <f t="shared" si="21"/>
        <v>2.5251195987654316</v>
      </c>
      <c r="K187" s="2">
        <f>J187*2</f>
        <v>5.050239197530863</v>
      </c>
      <c r="L187" s="2">
        <f>J187*3</f>
        <v>7.575358796296294</v>
      </c>
      <c r="M187" s="2">
        <f>J187*4</f>
        <v>10.100478395061726</v>
      </c>
      <c r="N187" t="s">
        <v>1142</v>
      </c>
      <c r="O187">
        <f>E187/13*0.9</f>
        <v>55.38461538461539</v>
      </c>
      <c r="Q187" t="s">
        <v>491</v>
      </c>
      <c r="S187" t="s">
        <v>254</v>
      </c>
      <c r="T187" s="10">
        <f>O26*1.225</f>
        <v>4.0915</v>
      </c>
    </row>
    <row r="188" spans="7:20" ht="12.75">
      <c r="G188" s="2"/>
      <c r="H188" s="2"/>
      <c r="I188" s="2"/>
      <c r="J188" s="2"/>
      <c r="K188" s="2"/>
      <c r="L188" s="2"/>
      <c r="M188" s="2"/>
      <c r="Q188" t="s">
        <v>492</v>
      </c>
      <c r="S188" t="s">
        <v>255</v>
      </c>
      <c r="T188" s="10">
        <f>O27*1.225</f>
        <v>6.235250000000001</v>
      </c>
    </row>
    <row r="189" spans="3:17" ht="12.75">
      <c r="C189" t="s">
        <v>989</v>
      </c>
      <c r="G189" s="2"/>
      <c r="H189" s="2"/>
      <c r="I189" s="2"/>
      <c r="J189" s="2"/>
      <c r="K189" s="2"/>
      <c r="L189" s="2"/>
      <c r="M189" s="2"/>
      <c r="Q189" t="s">
        <v>493</v>
      </c>
    </row>
    <row r="190" spans="7:13" ht="12.75">
      <c r="G190" s="2"/>
      <c r="H190" s="2"/>
      <c r="I190" s="2"/>
      <c r="J190" s="2"/>
      <c r="K190" s="2"/>
      <c r="L190" s="2"/>
      <c r="M190" s="2"/>
    </row>
    <row r="191" spans="2:13" ht="12.75">
      <c r="B191" s="8" t="s">
        <v>527</v>
      </c>
      <c r="G191" s="2"/>
      <c r="H191" s="2"/>
      <c r="I191" s="2"/>
      <c r="J191" s="2"/>
      <c r="K191" s="2"/>
      <c r="L191" s="2"/>
      <c r="M191" s="2"/>
    </row>
    <row r="192" spans="2:13" ht="12.75">
      <c r="B192" s="23" t="s">
        <v>374</v>
      </c>
      <c r="G192" s="2"/>
      <c r="H192" s="2"/>
      <c r="I192" s="2"/>
      <c r="J192" s="2"/>
      <c r="K192" s="2"/>
      <c r="L192" s="2"/>
      <c r="M192" s="2"/>
    </row>
    <row r="193" spans="2:13" ht="12.75">
      <c r="B193" t="s">
        <v>516</v>
      </c>
      <c r="G193" s="2"/>
      <c r="H193" s="2"/>
      <c r="I193" s="2"/>
      <c r="J193" s="2"/>
      <c r="K193" s="2"/>
      <c r="L193" s="2"/>
      <c r="M193" s="2"/>
    </row>
    <row r="194" spans="2:13" ht="12.75">
      <c r="B194" t="s">
        <v>494</v>
      </c>
      <c r="G194" s="2"/>
      <c r="H194" s="2"/>
      <c r="I194" s="2"/>
      <c r="J194" s="2"/>
      <c r="K194" t="s">
        <v>121</v>
      </c>
      <c r="L194" s="2"/>
      <c r="M194" s="2"/>
    </row>
    <row r="195" spans="2:13" ht="12.75">
      <c r="B195" t="s">
        <v>1054</v>
      </c>
      <c r="G195" s="2"/>
      <c r="H195" s="2"/>
      <c r="I195" s="2"/>
      <c r="J195" s="2"/>
      <c r="K195" t="s">
        <v>123</v>
      </c>
      <c r="L195" s="2"/>
      <c r="M195" s="2"/>
    </row>
    <row r="196" spans="2:13" ht="12.75">
      <c r="B196" t="s">
        <v>1055</v>
      </c>
      <c r="G196" s="2"/>
      <c r="H196" s="2"/>
      <c r="I196" s="2"/>
      <c r="J196" s="2"/>
      <c r="K196" s="2" t="s">
        <v>296</v>
      </c>
      <c r="L196" s="2"/>
      <c r="M196" s="2"/>
    </row>
    <row r="197" spans="7:13" ht="12.75">
      <c r="G197" s="2"/>
      <c r="H197" s="2"/>
      <c r="I197" s="2"/>
      <c r="J197" s="2"/>
      <c r="K197" s="2"/>
      <c r="L197" s="2"/>
      <c r="M197" s="2"/>
    </row>
    <row r="198" spans="2:15" ht="12.75">
      <c r="B198" t="s">
        <v>499</v>
      </c>
      <c r="G198" s="2"/>
      <c r="H198" s="2"/>
      <c r="I198" s="2"/>
      <c r="J198" s="2"/>
      <c r="K198" s="2"/>
      <c r="L198" s="2"/>
      <c r="M198" s="2"/>
      <c r="O198" s="4"/>
    </row>
    <row r="199" ht="12.75">
      <c r="B199" t="s">
        <v>501</v>
      </c>
    </row>
    <row r="201" ht="12.75">
      <c r="B201" s="23" t="s">
        <v>1056</v>
      </c>
    </row>
    <row r="202" ht="12.75">
      <c r="B202" s="23" t="s">
        <v>1057</v>
      </c>
    </row>
    <row r="203" ht="12.75">
      <c r="B203" s="23" t="s">
        <v>1058</v>
      </c>
    </row>
    <row r="204" ht="12.75">
      <c r="B204" s="23"/>
    </row>
    <row r="205" ht="12.75">
      <c r="B205" s="23" t="s">
        <v>1059</v>
      </c>
    </row>
    <row r="206" ht="12.75">
      <c r="B206" s="23" t="s">
        <v>1060</v>
      </c>
    </row>
    <row r="209" spans="2:15" ht="12.75">
      <c r="B209" t="s">
        <v>502</v>
      </c>
      <c r="O209" t="s">
        <v>1022</v>
      </c>
    </row>
    <row r="210" ht="12.75">
      <c r="O210" t="s">
        <v>1023</v>
      </c>
    </row>
    <row r="211" spans="2:15" ht="12.75">
      <c r="B211" t="s">
        <v>528</v>
      </c>
      <c r="O211" t="s">
        <v>1024</v>
      </c>
    </row>
    <row r="212" spans="2:15" ht="12.75">
      <c r="B212" t="s">
        <v>854</v>
      </c>
      <c r="O212" t="s">
        <v>1025</v>
      </c>
    </row>
    <row r="213" ht="12.75">
      <c r="B213" t="s">
        <v>530</v>
      </c>
    </row>
    <row r="214" ht="12.75">
      <c r="B214" t="s">
        <v>533</v>
      </c>
    </row>
    <row r="215" ht="12.75">
      <c r="B215" t="s">
        <v>540</v>
      </c>
    </row>
    <row r="216" ht="12.75">
      <c r="B216" t="s">
        <v>539</v>
      </c>
    </row>
    <row r="217" ht="12.75">
      <c r="B217" t="s">
        <v>869</v>
      </c>
    </row>
    <row r="218" ht="12.75">
      <c r="B218" t="s">
        <v>541</v>
      </c>
    </row>
    <row r="220" ht="12.75">
      <c r="B220" t="s">
        <v>642</v>
      </c>
    </row>
    <row r="221" ht="12.75">
      <c r="B221" t="s">
        <v>643</v>
      </c>
    </row>
    <row r="222" ht="12.75">
      <c r="B222" t="s">
        <v>644</v>
      </c>
    </row>
    <row r="223" ht="12.75">
      <c r="B223" t="s">
        <v>647</v>
      </c>
    </row>
    <row r="224" ht="12.75">
      <c r="B224" t="s">
        <v>648</v>
      </c>
    </row>
    <row r="225" ht="12.75">
      <c r="B225" t="s">
        <v>650</v>
      </c>
    </row>
    <row r="226" ht="12.75">
      <c r="B226" t="s">
        <v>649</v>
      </c>
    </row>
    <row r="228" ht="12.75">
      <c r="A228" t="s">
        <v>855</v>
      </c>
    </row>
    <row r="229" spans="1:6" ht="12.75">
      <c r="A229" t="s">
        <v>856</v>
      </c>
      <c r="E229">
        <v>560</v>
      </c>
      <c r="F229" t="s">
        <v>201</v>
      </c>
    </row>
    <row r="230" spans="1:6" ht="12.75">
      <c r="A230" t="s">
        <v>860</v>
      </c>
      <c r="E230">
        <v>290</v>
      </c>
      <c r="F230" t="s">
        <v>201</v>
      </c>
    </row>
    <row r="231" spans="1:6" ht="12.75">
      <c r="A231" t="s">
        <v>861</v>
      </c>
      <c r="E231">
        <v>500</v>
      </c>
      <c r="F231" t="s">
        <v>201</v>
      </c>
    </row>
    <row r="232" spans="1:6" ht="12.75">
      <c r="A232" t="s">
        <v>862</v>
      </c>
      <c r="E232">
        <v>38</v>
      </c>
      <c r="F232" t="s">
        <v>201</v>
      </c>
    </row>
    <row r="233" spans="1:6" ht="12.75">
      <c r="A233" t="s">
        <v>864</v>
      </c>
      <c r="E233">
        <v>8</v>
      </c>
      <c r="F233" t="s">
        <v>201</v>
      </c>
    </row>
    <row r="235" spans="1:7" ht="12.75">
      <c r="A235" t="s">
        <v>865</v>
      </c>
      <c r="E235">
        <f>SUM(E229:E234)</f>
        <v>1396</v>
      </c>
      <c r="F235" t="s">
        <v>201</v>
      </c>
      <c r="G235" t="s">
        <v>866</v>
      </c>
    </row>
    <row r="237" spans="1:16" ht="12.75">
      <c r="A237" t="s">
        <v>375</v>
      </c>
      <c r="P237" t="s">
        <v>376</v>
      </c>
    </row>
    <row r="238" ht="12.75">
      <c r="P238" t="s">
        <v>386</v>
      </c>
    </row>
    <row r="239" ht="12.75">
      <c r="P239" t="s">
        <v>387</v>
      </c>
    </row>
    <row r="240" ht="12.75">
      <c r="P240" t="s">
        <v>388</v>
      </c>
    </row>
    <row r="241" spans="1:16" ht="12.75">
      <c r="A241" t="s">
        <v>1076</v>
      </c>
      <c r="P241" t="s">
        <v>392</v>
      </c>
    </row>
    <row r="242" spans="1:16" ht="12.75">
      <c r="A242" t="s">
        <v>1027</v>
      </c>
      <c r="P242" t="s">
        <v>393</v>
      </c>
    </row>
    <row r="243" spans="1:16" ht="12.75">
      <c r="A243" t="s">
        <v>1068</v>
      </c>
      <c r="P243" t="s">
        <v>394</v>
      </c>
    </row>
    <row r="244" spans="1:16" ht="12.75">
      <c r="A244" t="s">
        <v>1071</v>
      </c>
      <c r="P244" t="s">
        <v>395</v>
      </c>
    </row>
    <row r="245" spans="1:16" ht="12.75">
      <c r="A245" t="s">
        <v>1075</v>
      </c>
      <c r="P245" t="s">
        <v>396</v>
      </c>
    </row>
    <row r="246" spans="1:16" ht="12.75">
      <c r="A246" t="s">
        <v>1073</v>
      </c>
      <c r="P246" t="s">
        <v>397</v>
      </c>
    </row>
    <row r="247" ht="12.75">
      <c r="A247" t="s">
        <v>1061</v>
      </c>
    </row>
    <row r="248" ht="12.75">
      <c r="A248" t="s">
        <v>1077</v>
      </c>
    </row>
    <row r="250" ht="12.75">
      <c r="A250" s="48" t="s">
        <v>1036</v>
      </c>
    </row>
    <row r="251" ht="12.75">
      <c r="A251" s="48" t="s">
        <v>1065</v>
      </c>
    </row>
    <row r="252" ht="12.75">
      <c r="A252" s="48" t="s">
        <v>1067</v>
      </c>
    </row>
    <row r="254" spans="1:2" ht="12.75">
      <c r="A254" s="51" t="s">
        <v>677</v>
      </c>
      <c r="B254" t="s">
        <v>1184</v>
      </c>
    </row>
    <row r="255" ht="12.75">
      <c r="B255" t="s">
        <v>678</v>
      </c>
    </row>
    <row r="256" ht="12.75">
      <c r="B256" t="s">
        <v>679</v>
      </c>
    </row>
    <row r="257" ht="12.75">
      <c r="B257" t="s">
        <v>680</v>
      </c>
    </row>
    <row r="258" ht="12.75">
      <c r="B258" t="s">
        <v>681</v>
      </c>
    </row>
    <row r="259" ht="12.75">
      <c r="B259" t="s">
        <v>682</v>
      </c>
    </row>
    <row r="260" ht="12.75">
      <c r="B260" t="s">
        <v>683</v>
      </c>
    </row>
    <row r="261" ht="12.75">
      <c r="B261" t="s">
        <v>685</v>
      </c>
    </row>
    <row r="262" ht="12.75">
      <c r="B262" t="s">
        <v>1185</v>
      </c>
    </row>
    <row r="264" ht="12.75">
      <c r="A264" t="s">
        <v>114</v>
      </c>
    </row>
    <row r="265" spans="1:3" ht="12.75">
      <c r="A265" s="55">
        <v>43591</v>
      </c>
      <c r="C265" t="s">
        <v>115</v>
      </c>
    </row>
    <row r="274" ht="12.75">
      <c r="A274" t="s">
        <v>20</v>
      </c>
    </row>
  </sheetData>
  <sheetProtection/>
  <conditionalFormatting sqref="G36:M36">
    <cfRule type="expression" priority="1" dxfId="0" stopIfTrue="1">
      <formula>G32&lt;=$O$17</formula>
    </cfRule>
    <cfRule type="expression" priority="2" dxfId="4" stopIfTrue="1">
      <formula>G32&gt;$O$17</formula>
    </cfRule>
  </conditionalFormatting>
  <conditionalFormatting sqref="G65:M65">
    <cfRule type="expression" priority="3" dxfId="0" stopIfTrue="1">
      <formula>G32&lt;=$O$17</formula>
    </cfRule>
    <cfRule type="expression" priority="4" dxfId="4" stopIfTrue="1">
      <formula>G32&gt;$O$17</formula>
    </cfRule>
  </conditionalFormatting>
  <conditionalFormatting sqref="H182:N182">
    <cfRule type="cellIs" priority="5" dxfId="4" operator="greaterThan" stopIfTrue="1">
      <formula>$O$26</formula>
    </cfRule>
  </conditionalFormatting>
  <conditionalFormatting sqref="G184:M184 G186:M186">
    <cfRule type="cellIs" priority="6" dxfId="5" operator="lessThanOrEqual" stopIfTrue="1">
      <formula>$T$187</formula>
    </cfRule>
    <cfRule type="cellIs" priority="7" dxfId="10" operator="greaterThan" stopIfTrue="1">
      <formula>$T$187</formula>
    </cfRule>
  </conditionalFormatting>
  <conditionalFormatting sqref="G185:M185 G187:M187">
    <cfRule type="cellIs" priority="8" dxfId="5" operator="lessThanOrEqual" stopIfTrue="1">
      <formula>$T$188</formula>
    </cfRule>
    <cfRule type="cellIs" priority="9" dxfId="10" operator="greaterThan" stopIfTrue="1">
      <formula>$T$188</formula>
    </cfRule>
  </conditionalFormatting>
  <conditionalFormatting sqref="G63:M64">
    <cfRule type="cellIs" priority="10" dxfId="0" operator="lessThan" stopIfTrue="1">
      <formula>24</formula>
    </cfRule>
    <cfRule type="cellIs" priority="11" dxfId="4" operator="greaterThanOrEqual" stopIfTrue="1">
      <formula>24</formula>
    </cfRule>
  </conditionalFormatting>
  <conditionalFormatting sqref="G62:M62">
    <cfRule type="cellIs" priority="12" dxfId="0" operator="lessThanOrEqual" stopIfTrue="1">
      <formula>$O$27</formula>
    </cfRule>
    <cfRule type="cellIs" priority="13" dxfId="4" operator="greaterThan" stopIfTrue="1">
      <formula>$O$27</formula>
    </cfRule>
  </conditionalFormatting>
  <conditionalFormatting sqref="G40:M41 G44:M45 G48:M49 G52:M53 G60:M61 G56:M57">
    <cfRule type="cellIs" priority="14" dxfId="0" operator="lessThanOrEqual" stopIfTrue="1">
      <formula>$O$27</formula>
    </cfRule>
    <cfRule type="cellIs" priority="15" dxfId="12" operator="greaterThan" stopIfTrue="1">
      <formula>$O$27</formula>
    </cfRule>
  </conditionalFormatting>
  <conditionalFormatting sqref="G42:M43 G46:M47 G50:M51 G54:M55 G58:M59 G38:M39">
    <cfRule type="cellIs" priority="16" dxfId="0" operator="lessThanOrEqual" stopIfTrue="1">
      <formula>$O$26</formula>
    </cfRule>
    <cfRule type="cellIs" priority="17" dxfId="10" operator="greaterThan" stopIfTrue="1">
      <formula>$O$26</formula>
    </cfRule>
  </conditionalFormatting>
  <conditionalFormatting sqref="G32:M32">
    <cfRule type="cellIs" priority="18" dxfId="4" operator="greaterThan" stopIfTrue="1">
      <formula>$O$17</formula>
    </cfRule>
    <cfRule type="cellIs" priority="19" dxfId="5" operator="lessThanOrEqual" stopIfTrue="1">
      <formula>$O$17</formula>
    </cfRule>
  </conditionalFormatting>
  <conditionalFormatting sqref="B31">
    <cfRule type="cellIs" priority="20" dxfId="4" operator="greaterThan" stopIfTrue="1">
      <formula>$O$19</formula>
    </cfRule>
  </conditionalFormatting>
  <conditionalFormatting sqref="G33:M33">
    <cfRule type="cellIs" priority="21" dxfId="4" operator="greaterThan" stopIfTrue="1">
      <formula>$F$33</formula>
    </cfRule>
  </conditionalFormatting>
  <conditionalFormatting sqref="G34:M34">
    <cfRule type="cellIs" priority="22" dxfId="5" operator="lessThanOrEqual" stopIfTrue="1">
      <formula>20</formula>
    </cfRule>
    <cfRule type="cellIs" priority="23" dxfId="4" operator="between" stopIfTrue="1">
      <formula>50</formula>
      <formula>80</formula>
    </cfRule>
    <cfRule type="cellIs" priority="24" dxfId="3" operator="greaterThan" stopIfTrue="1">
      <formula>80</formula>
    </cfRule>
  </conditionalFormatting>
  <hyperlinks>
    <hyperlink ref="M145" r:id="rId1" display="http://www.solarelectricityhandbook.com/solar-irradiance.aspx"/>
  </hyperlinks>
  <printOptions/>
  <pageMargins left="0.75" right="0.75" top="1" bottom="1" header="0.5" footer="0.5"/>
  <pageSetup orientation="portrait" r:id="rId2"/>
</worksheet>
</file>

<file path=xl/worksheets/sheet6.xml><?xml version="1.0" encoding="utf-8"?>
<worksheet xmlns="http://schemas.openxmlformats.org/spreadsheetml/2006/main" xmlns:r="http://schemas.openxmlformats.org/officeDocument/2006/relationships">
  <dimension ref="A1:U248"/>
  <sheetViews>
    <sheetView zoomScalePageLayoutView="0" workbookViewId="0" topLeftCell="A1">
      <pane ySplit="2" topLeftCell="A3" activePane="bottomLeft" state="frozen"/>
      <selection pane="topLeft" activeCell="A1" sqref="A1"/>
      <selection pane="bottomLeft" activeCell="B10" sqref="B10"/>
    </sheetView>
  </sheetViews>
  <sheetFormatPr defaultColWidth="9.140625" defaultRowHeight="12.75"/>
  <cols>
    <col min="1" max="1" width="19.00390625" style="0" customWidth="1"/>
    <col min="2" max="2" width="6.28125" style="0" customWidth="1"/>
    <col min="3" max="3" width="8.140625" style="0" customWidth="1"/>
    <col min="7" max="7" width="8.421875" style="0" customWidth="1"/>
    <col min="14" max="14" width="5.57421875" style="0" customWidth="1"/>
    <col min="15" max="15" width="6.28125" style="0" customWidth="1"/>
    <col min="16" max="16" width="6.57421875" style="0" customWidth="1"/>
    <col min="17" max="17" width="5.421875" style="0" customWidth="1"/>
    <col min="18" max="18" width="6.140625" style="0" customWidth="1"/>
    <col min="19" max="19" width="10.140625" style="0" customWidth="1"/>
    <col min="20" max="20" width="4.7109375" style="0" customWidth="1"/>
    <col min="21" max="21" width="5.28125" style="0" customWidth="1"/>
  </cols>
  <sheetData>
    <row r="1" spans="1:13" ht="60">
      <c r="A1" s="18" t="s">
        <v>1078</v>
      </c>
      <c r="B1" s="18" t="s">
        <v>1079</v>
      </c>
      <c r="C1" s="18" t="s">
        <v>369</v>
      </c>
      <c r="D1" s="18" t="s">
        <v>1083</v>
      </c>
      <c r="E1" s="18" t="s">
        <v>890</v>
      </c>
      <c r="F1" s="18" t="s">
        <v>425</v>
      </c>
      <c r="G1" s="18" t="s">
        <v>1017</v>
      </c>
      <c r="H1" s="18" t="s">
        <v>172</v>
      </c>
      <c r="I1" s="18" t="s">
        <v>173</v>
      </c>
      <c r="J1" s="18" t="s">
        <v>174</v>
      </c>
      <c r="K1" s="18" t="s">
        <v>175</v>
      </c>
      <c r="L1" s="18" t="s">
        <v>176</v>
      </c>
      <c r="M1" s="18" t="s">
        <v>1018</v>
      </c>
    </row>
    <row r="2" spans="1:13" ht="12.75">
      <c r="A2" s="18" t="s">
        <v>1020</v>
      </c>
      <c r="B2" s="18"/>
      <c r="C2" s="18"/>
      <c r="D2" s="18"/>
      <c r="E2" s="18"/>
      <c r="F2" s="18"/>
      <c r="G2" s="44">
        <v>8</v>
      </c>
      <c r="H2" s="18"/>
      <c r="I2" s="18"/>
      <c r="J2" s="18"/>
      <c r="K2" s="18"/>
      <c r="L2" s="18"/>
      <c r="M2" s="44">
        <v>7</v>
      </c>
    </row>
    <row r="3" spans="1:15" ht="12.75">
      <c r="A3" s="20" t="s">
        <v>402</v>
      </c>
      <c r="B3">
        <v>55</v>
      </c>
      <c r="C3" s="2">
        <f aca="true" t="shared" si="0" ref="C3:C8">B3/($O$17/100)/12</f>
        <v>5.092592592592593</v>
      </c>
      <c r="D3" s="2">
        <v>5.4</v>
      </c>
      <c r="E3" s="2">
        <f aca="true" t="shared" si="1" ref="E3:E29">C3*D3</f>
        <v>27.5</v>
      </c>
      <c r="F3" s="4">
        <f aca="true" t="shared" si="2" ref="F3:F8">(B3*D3)/0.9</f>
        <v>330</v>
      </c>
      <c r="G3" s="2">
        <f aca="true" t="shared" si="3" ref="G3:G29">J3*(G$2/24)</f>
        <v>18.333333333333332</v>
      </c>
      <c r="H3" s="2">
        <f aca="true" t="shared" si="4" ref="H3:H29">J3*0.5</f>
        <v>27.5</v>
      </c>
      <c r="I3" s="2">
        <f aca="true" t="shared" si="5" ref="I3:I29">J3*0.67</f>
        <v>36.85</v>
      </c>
      <c r="J3" s="2">
        <f aca="true" t="shared" si="6" ref="J3:J29">E3*2</f>
        <v>55</v>
      </c>
      <c r="K3" s="2">
        <f aca="true" t="shared" si="7" ref="K3:K29">J3*2</f>
        <v>110</v>
      </c>
      <c r="L3" s="2">
        <f aca="true" t="shared" si="8" ref="L3:L29">J3*3</f>
        <v>165</v>
      </c>
      <c r="M3" s="2">
        <f aca="true" t="shared" si="9" ref="M3:M29">J3*M$2</f>
        <v>385</v>
      </c>
      <c r="O3" s="8" t="s">
        <v>295</v>
      </c>
    </row>
    <row r="4" spans="1:15" ht="12.75">
      <c r="A4" s="27" t="s">
        <v>1008</v>
      </c>
      <c r="C4" s="2">
        <f t="shared" si="0"/>
        <v>0</v>
      </c>
      <c r="D4" s="2">
        <v>24</v>
      </c>
      <c r="E4" s="2">
        <f t="shared" si="1"/>
        <v>0</v>
      </c>
      <c r="F4" s="4">
        <f t="shared" si="2"/>
        <v>0</v>
      </c>
      <c r="G4" s="2">
        <f t="shared" si="3"/>
        <v>0</v>
      </c>
      <c r="H4" s="2">
        <f t="shared" si="4"/>
        <v>0</v>
      </c>
      <c r="I4" s="2">
        <f t="shared" si="5"/>
        <v>0</v>
      </c>
      <c r="J4" s="2">
        <f t="shared" si="6"/>
        <v>0</v>
      </c>
      <c r="K4" s="2">
        <f t="shared" si="7"/>
        <v>0</v>
      </c>
      <c r="L4" s="2">
        <f t="shared" si="8"/>
        <v>0</v>
      </c>
      <c r="M4" s="2">
        <f t="shared" si="9"/>
        <v>0</v>
      </c>
      <c r="O4" s="8" t="s">
        <v>297</v>
      </c>
    </row>
    <row r="5" spans="1:15" ht="12.75">
      <c r="A5" t="s">
        <v>646</v>
      </c>
      <c r="C5" s="2">
        <f t="shared" si="0"/>
        <v>0</v>
      </c>
      <c r="D5" s="2">
        <v>24</v>
      </c>
      <c r="E5" s="2">
        <f t="shared" si="1"/>
        <v>0</v>
      </c>
      <c r="F5" s="4">
        <f t="shared" si="2"/>
        <v>0</v>
      </c>
      <c r="G5" s="2">
        <f t="shared" si="3"/>
        <v>0</v>
      </c>
      <c r="H5" s="2">
        <f t="shared" si="4"/>
        <v>0</v>
      </c>
      <c r="I5" s="2">
        <f t="shared" si="5"/>
        <v>0</v>
      </c>
      <c r="J5" s="2">
        <f t="shared" si="6"/>
        <v>0</v>
      </c>
      <c r="K5" s="2">
        <f t="shared" si="7"/>
        <v>0</v>
      </c>
      <c r="L5" s="2">
        <f t="shared" si="8"/>
        <v>0</v>
      </c>
      <c r="M5" s="2">
        <f t="shared" si="9"/>
        <v>0</v>
      </c>
      <c r="O5" s="8" t="s">
        <v>118</v>
      </c>
    </row>
    <row r="6" spans="1:15" ht="12.75">
      <c r="A6" s="28" t="s">
        <v>1120</v>
      </c>
      <c r="B6">
        <v>14</v>
      </c>
      <c r="C6" s="2">
        <f t="shared" si="0"/>
        <v>1.2962962962962963</v>
      </c>
      <c r="D6" s="2">
        <v>24</v>
      </c>
      <c r="E6" s="2">
        <f t="shared" si="1"/>
        <v>31.11111111111111</v>
      </c>
      <c r="F6" s="4">
        <f t="shared" si="2"/>
        <v>373.3333333333333</v>
      </c>
      <c r="G6" s="2">
        <f t="shared" si="3"/>
        <v>20.74074074074074</v>
      </c>
      <c r="H6" s="2">
        <f t="shared" si="4"/>
        <v>31.11111111111111</v>
      </c>
      <c r="I6" s="2">
        <f t="shared" si="5"/>
        <v>41.68888888888889</v>
      </c>
      <c r="J6" s="2">
        <f t="shared" si="6"/>
        <v>62.22222222222222</v>
      </c>
      <c r="K6" s="2">
        <f t="shared" si="7"/>
        <v>124.44444444444444</v>
      </c>
      <c r="L6" s="2">
        <f t="shared" si="8"/>
        <v>186.66666666666666</v>
      </c>
      <c r="M6" s="2">
        <f t="shared" si="9"/>
        <v>435.55555555555554</v>
      </c>
      <c r="O6" s="8" t="s">
        <v>119</v>
      </c>
    </row>
    <row r="7" spans="1:15" ht="12.75">
      <c r="A7" t="s">
        <v>891</v>
      </c>
      <c r="C7" s="2">
        <f t="shared" si="0"/>
        <v>0</v>
      </c>
      <c r="D7" s="2">
        <v>24</v>
      </c>
      <c r="E7" s="2">
        <f t="shared" si="1"/>
        <v>0</v>
      </c>
      <c r="F7" s="4">
        <f t="shared" si="2"/>
        <v>0</v>
      </c>
      <c r="G7" s="2">
        <f t="shared" si="3"/>
        <v>0</v>
      </c>
      <c r="H7" s="2">
        <f t="shared" si="4"/>
        <v>0</v>
      </c>
      <c r="I7" s="2">
        <f t="shared" si="5"/>
        <v>0</v>
      </c>
      <c r="J7" s="2">
        <f t="shared" si="6"/>
        <v>0</v>
      </c>
      <c r="K7" s="2">
        <f t="shared" si="7"/>
        <v>0</v>
      </c>
      <c r="L7" s="2">
        <f t="shared" si="8"/>
        <v>0</v>
      </c>
      <c r="M7" s="2">
        <f t="shared" si="9"/>
        <v>0</v>
      </c>
      <c r="O7" s="8" t="s">
        <v>1157</v>
      </c>
    </row>
    <row r="8" spans="1:15" ht="12.75">
      <c r="A8" t="s">
        <v>894</v>
      </c>
      <c r="C8" s="2">
        <f t="shared" si="0"/>
        <v>0</v>
      </c>
      <c r="D8" s="2">
        <v>4</v>
      </c>
      <c r="E8" s="2">
        <f t="shared" si="1"/>
        <v>0</v>
      </c>
      <c r="F8" s="4">
        <f t="shared" si="2"/>
        <v>0</v>
      </c>
      <c r="G8" s="2">
        <f t="shared" si="3"/>
        <v>0</v>
      </c>
      <c r="H8" s="2">
        <f t="shared" si="4"/>
        <v>0</v>
      </c>
      <c r="I8" s="2">
        <f t="shared" si="5"/>
        <v>0</v>
      </c>
      <c r="J8" s="2">
        <f t="shared" si="6"/>
        <v>0</v>
      </c>
      <c r="K8" s="2">
        <f t="shared" si="7"/>
        <v>0</v>
      </c>
      <c r="L8" s="2">
        <f t="shared" si="8"/>
        <v>0</v>
      </c>
      <c r="M8" s="2">
        <f t="shared" si="9"/>
        <v>0</v>
      </c>
      <c r="O8" s="8" t="s">
        <v>269</v>
      </c>
    </row>
    <row r="9" spans="1:15" ht="12.75">
      <c r="A9" s="28" t="s">
        <v>424</v>
      </c>
      <c r="B9" t="s">
        <v>1084</v>
      </c>
      <c r="C9" s="49">
        <f>IF(B30&gt;80,MAX(0,(1-B30/400)*O20),O20)</f>
        <v>0.5932000000000001</v>
      </c>
      <c r="D9" s="2">
        <v>24</v>
      </c>
      <c r="E9" s="2">
        <f t="shared" si="1"/>
        <v>14.236800000000002</v>
      </c>
      <c r="F9" s="4">
        <f>E9*12.6</f>
        <v>179.38368000000003</v>
      </c>
      <c r="G9" s="2">
        <f t="shared" si="3"/>
        <v>9.491200000000001</v>
      </c>
      <c r="H9" s="2">
        <f t="shared" si="4"/>
        <v>14.236800000000002</v>
      </c>
      <c r="I9" s="2">
        <f t="shared" si="5"/>
        <v>19.077312000000003</v>
      </c>
      <c r="J9" s="2">
        <f t="shared" si="6"/>
        <v>28.473600000000005</v>
      </c>
      <c r="K9" s="2">
        <f t="shared" si="7"/>
        <v>56.94720000000001</v>
      </c>
      <c r="L9" s="2">
        <f t="shared" si="8"/>
        <v>85.42080000000001</v>
      </c>
      <c r="M9" s="2">
        <f t="shared" si="9"/>
        <v>199.31520000000003</v>
      </c>
      <c r="O9" s="8" t="s">
        <v>270</v>
      </c>
    </row>
    <row r="10" spans="1:15" ht="12.75">
      <c r="A10" t="s">
        <v>250</v>
      </c>
      <c r="B10" t="s">
        <v>1084</v>
      </c>
      <c r="C10" s="2"/>
      <c r="D10" s="2">
        <v>24</v>
      </c>
      <c r="E10" s="2">
        <f t="shared" si="1"/>
        <v>0</v>
      </c>
      <c r="F10" s="4">
        <f>E10*12.6</f>
        <v>0</v>
      </c>
      <c r="G10" s="2">
        <f t="shared" si="3"/>
        <v>0</v>
      </c>
      <c r="H10" s="2">
        <f t="shared" si="4"/>
        <v>0</v>
      </c>
      <c r="I10" s="2">
        <f t="shared" si="5"/>
        <v>0</v>
      </c>
      <c r="J10" s="2">
        <f t="shared" si="6"/>
        <v>0</v>
      </c>
      <c r="K10" s="2">
        <f t="shared" si="7"/>
        <v>0</v>
      </c>
      <c r="L10" s="2">
        <f t="shared" si="8"/>
        <v>0</v>
      </c>
      <c r="M10" s="2">
        <f t="shared" si="9"/>
        <v>0</v>
      </c>
      <c r="O10" s="8" t="s">
        <v>272</v>
      </c>
    </row>
    <row r="11" spans="1:15" ht="12.75">
      <c r="A11" s="27" t="s">
        <v>64</v>
      </c>
      <c r="B11">
        <v>16</v>
      </c>
      <c r="C11" s="2">
        <f aca="true" t="shared" si="10" ref="C11:C25">B11/($O$17/100)/12</f>
        <v>1.4814814814814816</v>
      </c>
      <c r="D11" s="2">
        <v>4</v>
      </c>
      <c r="E11" s="2">
        <f t="shared" si="1"/>
        <v>5.9259259259259265</v>
      </c>
      <c r="F11" s="4">
        <f aca="true" t="shared" si="11" ref="F11:F25">(B11*D11)/0.9</f>
        <v>71.11111111111111</v>
      </c>
      <c r="G11" s="2">
        <f t="shared" si="3"/>
        <v>3.9506172839506175</v>
      </c>
      <c r="H11" s="2">
        <f t="shared" si="4"/>
        <v>5.9259259259259265</v>
      </c>
      <c r="I11" s="2">
        <f t="shared" si="5"/>
        <v>7.9407407407407415</v>
      </c>
      <c r="J11" s="2">
        <f t="shared" si="6"/>
        <v>11.851851851851853</v>
      </c>
      <c r="K11" s="2">
        <f t="shared" si="7"/>
        <v>23.703703703703706</v>
      </c>
      <c r="L11" s="2">
        <f t="shared" si="8"/>
        <v>35.55555555555556</v>
      </c>
      <c r="M11" s="2">
        <f t="shared" si="9"/>
        <v>82.96296296296298</v>
      </c>
      <c r="O11" s="8" t="s">
        <v>273</v>
      </c>
    </row>
    <row r="12" spans="1:15" ht="12.75">
      <c r="A12" t="s">
        <v>1119</v>
      </c>
      <c r="C12" s="2">
        <f t="shared" si="10"/>
        <v>0</v>
      </c>
      <c r="D12" s="2">
        <v>4</v>
      </c>
      <c r="E12" s="2">
        <f t="shared" si="1"/>
        <v>0</v>
      </c>
      <c r="F12" s="4">
        <f t="shared" si="11"/>
        <v>0</v>
      </c>
      <c r="G12" s="2">
        <f t="shared" si="3"/>
        <v>0</v>
      </c>
      <c r="H12" s="2">
        <f t="shared" si="4"/>
        <v>0</v>
      </c>
      <c r="I12" s="2">
        <f t="shared" si="5"/>
        <v>0</v>
      </c>
      <c r="J12" s="2">
        <f t="shared" si="6"/>
        <v>0</v>
      </c>
      <c r="K12" s="2">
        <f t="shared" si="7"/>
        <v>0</v>
      </c>
      <c r="L12" s="2">
        <f t="shared" si="8"/>
        <v>0</v>
      </c>
      <c r="M12" s="2">
        <f t="shared" si="9"/>
        <v>0</v>
      </c>
      <c r="O12" s="8" t="s">
        <v>271</v>
      </c>
    </row>
    <row r="13" spans="1:15" ht="12.75">
      <c r="A13" s="27" t="s">
        <v>168</v>
      </c>
      <c r="B13">
        <v>9</v>
      </c>
      <c r="C13" s="2">
        <f t="shared" si="10"/>
        <v>0.8333333333333334</v>
      </c>
      <c r="D13" s="2">
        <v>6</v>
      </c>
      <c r="E13" s="2">
        <f t="shared" si="1"/>
        <v>5</v>
      </c>
      <c r="F13" s="4">
        <f t="shared" si="11"/>
        <v>60</v>
      </c>
      <c r="G13" s="2">
        <f t="shared" si="3"/>
        <v>3.333333333333333</v>
      </c>
      <c r="H13" s="2">
        <f t="shared" si="4"/>
        <v>5</v>
      </c>
      <c r="I13" s="2">
        <f t="shared" si="5"/>
        <v>6.7</v>
      </c>
      <c r="J13" s="2">
        <f t="shared" si="6"/>
        <v>10</v>
      </c>
      <c r="K13" s="2">
        <f t="shared" si="7"/>
        <v>20</v>
      </c>
      <c r="L13" s="2">
        <f t="shared" si="8"/>
        <v>30</v>
      </c>
      <c r="M13" s="2">
        <f t="shared" si="9"/>
        <v>70</v>
      </c>
      <c r="O13" s="8" t="s">
        <v>276</v>
      </c>
    </row>
    <row r="14" spans="1:15" ht="12.75">
      <c r="A14" s="27" t="s">
        <v>169</v>
      </c>
      <c r="B14">
        <v>1.4</v>
      </c>
      <c r="C14" s="2">
        <f t="shared" si="10"/>
        <v>0.12962962962962962</v>
      </c>
      <c r="D14" s="2">
        <v>24</v>
      </c>
      <c r="E14" s="2">
        <f t="shared" si="1"/>
        <v>3.1111111111111107</v>
      </c>
      <c r="F14" s="4">
        <f t="shared" si="11"/>
        <v>37.33333333333333</v>
      </c>
      <c r="G14" s="2">
        <f t="shared" si="3"/>
        <v>2.0740740740740735</v>
      </c>
      <c r="H14" s="2">
        <f t="shared" si="4"/>
        <v>3.1111111111111107</v>
      </c>
      <c r="I14" s="2">
        <f t="shared" si="5"/>
        <v>4.168888888888889</v>
      </c>
      <c r="J14" s="2">
        <f t="shared" si="6"/>
        <v>6.222222222222221</v>
      </c>
      <c r="K14" s="2">
        <f t="shared" si="7"/>
        <v>12.444444444444443</v>
      </c>
      <c r="L14" s="2">
        <f t="shared" si="8"/>
        <v>18.666666666666664</v>
      </c>
      <c r="M14" s="2">
        <f t="shared" si="9"/>
        <v>43.55555555555555</v>
      </c>
      <c r="O14" s="8" t="s">
        <v>294</v>
      </c>
    </row>
    <row r="15" spans="1:15" ht="12.75">
      <c r="A15" t="s">
        <v>58</v>
      </c>
      <c r="C15" s="2">
        <f t="shared" si="10"/>
        <v>0</v>
      </c>
      <c r="D15" s="2">
        <v>24</v>
      </c>
      <c r="E15" s="2">
        <f t="shared" si="1"/>
        <v>0</v>
      </c>
      <c r="F15" s="4">
        <f t="shared" si="11"/>
        <v>0</v>
      </c>
      <c r="G15" s="2">
        <f t="shared" si="3"/>
        <v>0</v>
      </c>
      <c r="H15" s="2">
        <f t="shared" si="4"/>
        <v>0</v>
      </c>
      <c r="I15" s="2">
        <f t="shared" si="5"/>
        <v>0</v>
      </c>
      <c r="J15" s="2">
        <f t="shared" si="6"/>
        <v>0</v>
      </c>
      <c r="K15" s="2">
        <f t="shared" si="7"/>
        <v>0</v>
      </c>
      <c r="L15" s="2">
        <f t="shared" si="8"/>
        <v>0</v>
      </c>
      <c r="M15" s="2">
        <f t="shared" si="9"/>
        <v>0</v>
      </c>
      <c r="O15" s="8" t="s">
        <v>298</v>
      </c>
    </row>
    <row r="16" spans="1:21" ht="12.75">
      <c r="A16" t="s">
        <v>1102</v>
      </c>
      <c r="C16" s="2">
        <f t="shared" si="10"/>
        <v>0</v>
      </c>
      <c r="D16" s="2">
        <v>0.5</v>
      </c>
      <c r="E16" s="2">
        <f t="shared" si="1"/>
        <v>0</v>
      </c>
      <c r="F16" s="4">
        <f t="shared" si="11"/>
        <v>0</v>
      </c>
      <c r="G16" s="2">
        <f t="shared" si="3"/>
        <v>0</v>
      </c>
      <c r="H16" s="2">
        <f t="shared" si="4"/>
        <v>0</v>
      </c>
      <c r="I16" s="2">
        <f t="shared" si="5"/>
        <v>0</v>
      </c>
      <c r="J16" s="2">
        <f t="shared" si="6"/>
        <v>0</v>
      </c>
      <c r="K16" s="2">
        <f t="shared" si="7"/>
        <v>0</v>
      </c>
      <c r="L16" s="2">
        <f t="shared" si="8"/>
        <v>0</v>
      </c>
      <c r="M16" s="2">
        <f t="shared" si="9"/>
        <v>0</v>
      </c>
      <c r="O16" s="13">
        <v>420</v>
      </c>
      <c r="P16" s="12" t="s">
        <v>1145</v>
      </c>
      <c r="U16" s="40"/>
    </row>
    <row r="17" spans="1:20" ht="12.75">
      <c r="A17" t="s">
        <v>60</v>
      </c>
      <c r="C17" s="2">
        <f t="shared" si="10"/>
        <v>0</v>
      </c>
      <c r="D17" s="2">
        <v>24</v>
      </c>
      <c r="E17" s="2">
        <f t="shared" si="1"/>
        <v>0</v>
      </c>
      <c r="F17" s="4">
        <f t="shared" si="11"/>
        <v>0</v>
      </c>
      <c r="G17" s="2">
        <f t="shared" si="3"/>
        <v>0</v>
      </c>
      <c r="H17" s="2">
        <f t="shared" si="4"/>
        <v>0</v>
      </c>
      <c r="I17" s="2">
        <f t="shared" si="5"/>
        <v>0</v>
      </c>
      <c r="J17" s="2">
        <f t="shared" si="6"/>
        <v>0</v>
      </c>
      <c r="K17" s="2">
        <f t="shared" si="7"/>
        <v>0</v>
      </c>
      <c r="L17" s="2">
        <f t="shared" si="8"/>
        <v>0</v>
      </c>
      <c r="M17" s="2">
        <f t="shared" si="9"/>
        <v>0</v>
      </c>
      <c r="O17" s="13">
        <v>90</v>
      </c>
      <c r="P17" s="12" t="s">
        <v>42</v>
      </c>
      <c r="T17" t="s">
        <v>251</v>
      </c>
    </row>
    <row r="18" spans="1:20" ht="12.75">
      <c r="A18" t="s">
        <v>1103</v>
      </c>
      <c r="C18" s="2">
        <f t="shared" si="10"/>
        <v>0</v>
      </c>
      <c r="D18" s="2">
        <v>0.1</v>
      </c>
      <c r="E18" s="2">
        <f t="shared" si="1"/>
        <v>0</v>
      </c>
      <c r="F18" s="4">
        <f t="shared" si="11"/>
        <v>0</v>
      </c>
      <c r="G18" s="2">
        <f t="shared" si="3"/>
        <v>0</v>
      </c>
      <c r="H18" s="2">
        <f t="shared" si="4"/>
        <v>0</v>
      </c>
      <c r="I18" s="2">
        <f t="shared" si="5"/>
        <v>0</v>
      </c>
      <c r="J18" s="2">
        <f t="shared" si="6"/>
        <v>0</v>
      </c>
      <c r="K18" s="2">
        <f t="shared" si="7"/>
        <v>0</v>
      </c>
      <c r="L18" s="2">
        <f t="shared" si="8"/>
        <v>0</v>
      </c>
      <c r="M18" s="2">
        <f t="shared" si="9"/>
        <v>0</v>
      </c>
      <c r="O18" s="13">
        <v>2000</v>
      </c>
      <c r="P18" s="8" t="s">
        <v>177</v>
      </c>
      <c r="T18" t="s">
        <v>252</v>
      </c>
    </row>
    <row r="19" spans="1:16" ht="12.75">
      <c r="A19" t="s">
        <v>693</v>
      </c>
      <c r="C19" s="2">
        <f t="shared" si="10"/>
        <v>0</v>
      </c>
      <c r="D19" s="2">
        <v>24</v>
      </c>
      <c r="E19" s="2">
        <f t="shared" si="1"/>
        <v>0</v>
      </c>
      <c r="F19" s="4">
        <f t="shared" si="11"/>
        <v>0</v>
      </c>
      <c r="G19" s="2">
        <f t="shared" si="3"/>
        <v>0</v>
      </c>
      <c r="H19" s="2">
        <f t="shared" si="4"/>
        <v>0</v>
      </c>
      <c r="I19" s="2">
        <f t="shared" si="5"/>
        <v>0</v>
      </c>
      <c r="J19" s="2">
        <f t="shared" si="6"/>
        <v>0</v>
      </c>
      <c r="K19" s="2">
        <f t="shared" si="7"/>
        <v>0</v>
      </c>
      <c r="L19" s="2">
        <f t="shared" si="8"/>
        <v>0</v>
      </c>
      <c r="M19" s="2">
        <f t="shared" si="9"/>
        <v>0</v>
      </c>
      <c r="P19" t="s">
        <v>946</v>
      </c>
    </row>
    <row r="20" spans="1:16" ht="12.75">
      <c r="A20" t="s">
        <v>833</v>
      </c>
      <c r="C20" s="2">
        <f t="shared" si="10"/>
        <v>0</v>
      </c>
      <c r="D20" s="2">
        <f>NOCTRatings!D22</f>
        <v>2.52</v>
      </c>
      <c r="E20" s="2">
        <f t="shared" si="1"/>
        <v>0</v>
      </c>
      <c r="F20" s="4">
        <f t="shared" si="11"/>
        <v>0</v>
      </c>
      <c r="G20" s="2">
        <f t="shared" si="3"/>
        <v>0</v>
      </c>
      <c r="H20" s="2">
        <f t="shared" si="4"/>
        <v>0</v>
      </c>
      <c r="I20" s="2">
        <f t="shared" si="5"/>
        <v>0</v>
      </c>
      <c r="J20" s="2">
        <f t="shared" si="6"/>
        <v>0</v>
      </c>
      <c r="K20" s="2">
        <f t="shared" si="7"/>
        <v>0</v>
      </c>
      <c r="L20" s="2">
        <f t="shared" si="8"/>
        <v>0</v>
      </c>
      <c r="M20" s="2">
        <f t="shared" si="9"/>
        <v>0</v>
      </c>
      <c r="O20" s="63">
        <v>0.8</v>
      </c>
      <c r="P20" s="8" t="s">
        <v>1064</v>
      </c>
    </row>
    <row r="21" spans="1:16" ht="12.75">
      <c r="A21" s="27" t="s">
        <v>1146</v>
      </c>
      <c r="B21">
        <v>8</v>
      </c>
      <c r="C21" s="2">
        <f t="shared" si="10"/>
        <v>0.7407407407407408</v>
      </c>
      <c r="D21" s="2">
        <v>2</v>
      </c>
      <c r="E21" s="2">
        <f t="shared" si="1"/>
        <v>1.4814814814814816</v>
      </c>
      <c r="F21" s="4">
        <f t="shared" si="11"/>
        <v>17.77777777777778</v>
      </c>
      <c r="G21" s="2">
        <f t="shared" si="3"/>
        <v>0.9876543209876544</v>
      </c>
      <c r="H21" s="2">
        <f t="shared" si="4"/>
        <v>1.4814814814814816</v>
      </c>
      <c r="I21" s="2">
        <f t="shared" si="5"/>
        <v>1.9851851851851854</v>
      </c>
      <c r="J21" s="2">
        <f t="shared" si="6"/>
        <v>2.9629629629629632</v>
      </c>
      <c r="K21" s="2">
        <f t="shared" si="7"/>
        <v>5.9259259259259265</v>
      </c>
      <c r="L21" s="2">
        <f t="shared" si="8"/>
        <v>8.88888888888889</v>
      </c>
      <c r="M21" s="2">
        <f t="shared" si="9"/>
        <v>20.740740740740744</v>
      </c>
      <c r="O21" s="7">
        <f>O16/2/J32</f>
        <v>2.37646808726089</v>
      </c>
      <c r="P21" s="6" t="s">
        <v>881</v>
      </c>
    </row>
    <row r="22" spans="1:16" ht="12.75">
      <c r="A22" t="s">
        <v>162</v>
      </c>
      <c r="C22" s="2">
        <f t="shared" si="10"/>
        <v>0</v>
      </c>
      <c r="D22" s="2">
        <v>24</v>
      </c>
      <c r="E22" s="2">
        <f t="shared" si="1"/>
        <v>0</v>
      </c>
      <c r="F22" s="4">
        <f t="shared" si="11"/>
        <v>0</v>
      </c>
      <c r="G22" s="2">
        <f t="shared" si="3"/>
        <v>0</v>
      </c>
      <c r="H22" s="2">
        <f t="shared" si="4"/>
        <v>0</v>
      </c>
      <c r="I22" s="2">
        <f t="shared" si="5"/>
        <v>0</v>
      </c>
      <c r="J22" s="2">
        <f t="shared" si="6"/>
        <v>0</v>
      </c>
      <c r="K22" s="2">
        <f t="shared" si="7"/>
        <v>0</v>
      </c>
      <c r="L22" s="2">
        <f t="shared" si="8"/>
        <v>0</v>
      </c>
      <c r="M22" s="2">
        <f t="shared" si="9"/>
        <v>0</v>
      </c>
      <c r="O22" s="5">
        <f>O21*24</f>
        <v>57.03523409426136</v>
      </c>
      <c r="P22" s="6" t="s">
        <v>882</v>
      </c>
    </row>
    <row r="23" spans="1:16" ht="12.75">
      <c r="A23" t="s">
        <v>164</v>
      </c>
      <c r="C23" s="2">
        <f t="shared" si="10"/>
        <v>0</v>
      </c>
      <c r="D23" s="2">
        <v>0.1</v>
      </c>
      <c r="E23" s="2">
        <f t="shared" si="1"/>
        <v>0</v>
      </c>
      <c r="F23" s="4">
        <f t="shared" si="11"/>
        <v>0</v>
      </c>
      <c r="G23" s="2">
        <f t="shared" si="3"/>
        <v>0</v>
      </c>
      <c r="H23" s="2">
        <f t="shared" si="4"/>
        <v>0</v>
      </c>
      <c r="I23" s="2">
        <f t="shared" si="5"/>
        <v>0</v>
      </c>
      <c r="J23" s="2">
        <f t="shared" si="6"/>
        <v>0</v>
      </c>
      <c r="K23" s="2">
        <f t="shared" si="7"/>
        <v>0</v>
      </c>
      <c r="L23" s="2">
        <f t="shared" si="8"/>
        <v>0</v>
      </c>
      <c r="M23" s="2">
        <f t="shared" si="9"/>
        <v>0</v>
      </c>
      <c r="O23" s="5">
        <f>J62</f>
        <v>1.5634060626780626</v>
      </c>
      <c r="P23" s="6" t="s">
        <v>243</v>
      </c>
    </row>
    <row r="24" spans="1:16" ht="12.75">
      <c r="A24" t="s">
        <v>633</v>
      </c>
      <c r="C24" s="2">
        <f t="shared" si="10"/>
        <v>0</v>
      </c>
      <c r="D24" s="2">
        <v>24</v>
      </c>
      <c r="E24" s="2">
        <f t="shared" si="1"/>
        <v>0</v>
      </c>
      <c r="F24" s="4">
        <f t="shared" si="11"/>
        <v>0</v>
      </c>
      <c r="G24" s="2">
        <f t="shared" si="3"/>
        <v>0</v>
      </c>
      <c r="H24" s="2">
        <f t="shared" si="4"/>
        <v>0</v>
      </c>
      <c r="I24" s="2">
        <f t="shared" si="5"/>
        <v>0</v>
      </c>
      <c r="J24" s="2">
        <f t="shared" si="6"/>
        <v>0</v>
      </c>
      <c r="K24" s="2">
        <f t="shared" si="7"/>
        <v>0</v>
      </c>
      <c r="L24" s="2">
        <f t="shared" si="8"/>
        <v>0</v>
      </c>
      <c r="M24" s="2">
        <f t="shared" si="9"/>
        <v>0</v>
      </c>
      <c r="P24" s="6" t="s">
        <v>947</v>
      </c>
    </row>
    <row r="25" spans="1:15" ht="12.75">
      <c r="A25" t="s">
        <v>632</v>
      </c>
      <c r="C25" s="2">
        <f t="shared" si="10"/>
        <v>0</v>
      </c>
      <c r="D25" s="2">
        <v>24</v>
      </c>
      <c r="E25" s="2">
        <f t="shared" si="1"/>
        <v>0</v>
      </c>
      <c r="F25" s="4">
        <f t="shared" si="11"/>
        <v>0</v>
      </c>
      <c r="G25" s="2">
        <f t="shared" si="3"/>
        <v>0</v>
      </c>
      <c r="H25" s="2">
        <f t="shared" si="4"/>
        <v>0</v>
      </c>
      <c r="I25" s="2">
        <f t="shared" si="5"/>
        <v>0</v>
      </c>
      <c r="J25" s="2">
        <f t="shared" si="6"/>
        <v>0</v>
      </c>
      <c r="K25" s="2">
        <f t="shared" si="7"/>
        <v>0</v>
      </c>
      <c r="L25" s="2">
        <f t="shared" si="8"/>
        <v>0</v>
      </c>
      <c r="M25" s="2">
        <f t="shared" si="9"/>
        <v>0</v>
      </c>
      <c r="O25" t="s">
        <v>899</v>
      </c>
    </row>
    <row r="26" spans="1:15" ht="12.75">
      <c r="A26" s="36" t="s">
        <v>832</v>
      </c>
      <c r="B26" t="s">
        <v>1084</v>
      </c>
      <c r="C26" s="2"/>
      <c r="D26" s="2">
        <v>8</v>
      </c>
      <c r="E26" s="2">
        <f t="shared" si="1"/>
        <v>0</v>
      </c>
      <c r="F26" s="4">
        <f>E26*12.6</f>
        <v>0</v>
      </c>
      <c r="G26" s="2">
        <f t="shared" si="3"/>
        <v>0</v>
      </c>
      <c r="H26" s="2">
        <f t="shared" si="4"/>
        <v>0</v>
      </c>
      <c r="I26" s="2">
        <f t="shared" si="5"/>
        <v>0</v>
      </c>
      <c r="J26" s="2">
        <f t="shared" si="6"/>
        <v>0</v>
      </c>
      <c r="K26" s="2">
        <f t="shared" si="7"/>
        <v>0</v>
      </c>
      <c r="L26" s="2">
        <f t="shared" si="8"/>
        <v>0</v>
      </c>
      <c r="M26" s="2">
        <f t="shared" si="9"/>
        <v>0</v>
      </c>
      <c r="O26" t="s">
        <v>907</v>
      </c>
    </row>
    <row r="27" spans="1:15" ht="12.75">
      <c r="A27" t="s">
        <v>888</v>
      </c>
      <c r="C27" s="2">
        <f>B27/($O$17/100)/12</f>
        <v>0</v>
      </c>
      <c r="D27" s="2">
        <v>2</v>
      </c>
      <c r="E27" s="2">
        <f t="shared" si="1"/>
        <v>0</v>
      </c>
      <c r="F27" s="4">
        <f>(B27*D27)/0.9</f>
        <v>0</v>
      </c>
      <c r="G27" s="2">
        <f t="shared" si="3"/>
        <v>0</v>
      </c>
      <c r="H27" s="2">
        <f t="shared" si="4"/>
        <v>0</v>
      </c>
      <c r="I27" s="2">
        <f t="shared" si="5"/>
        <v>0</v>
      </c>
      <c r="J27" s="2">
        <f t="shared" si="6"/>
        <v>0</v>
      </c>
      <c r="K27" s="2">
        <f t="shared" si="7"/>
        <v>0</v>
      </c>
      <c r="L27" s="2">
        <f t="shared" si="8"/>
        <v>0</v>
      </c>
      <c r="M27" s="2">
        <f t="shared" si="9"/>
        <v>0</v>
      </c>
      <c r="O27" t="s">
        <v>908</v>
      </c>
    </row>
    <row r="28" spans="1:15" ht="12.75">
      <c r="A28" t="s">
        <v>1012</v>
      </c>
      <c r="C28" s="2">
        <f>B28/($O$17/100)/12</f>
        <v>0</v>
      </c>
      <c r="D28" s="2">
        <v>8</v>
      </c>
      <c r="E28" s="2">
        <f t="shared" si="1"/>
        <v>0</v>
      </c>
      <c r="F28" s="4">
        <f>(B28*D28)/0.9</f>
        <v>0</v>
      </c>
      <c r="G28" s="2">
        <f t="shared" si="3"/>
        <v>0</v>
      </c>
      <c r="H28" s="2">
        <f t="shared" si="4"/>
        <v>0</v>
      </c>
      <c r="I28" s="2">
        <f t="shared" si="5"/>
        <v>0</v>
      </c>
      <c r="J28" s="2">
        <f t="shared" si="6"/>
        <v>0</v>
      </c>
      <c r="K28" s="2">
        <f t="shared" si="7"/>
        <v>0</v>
      </c>
      <c r="L28" s="2">
        <f t="shared" si="8"/>
        <v>0</v>
      </c>
      <c r="M28" s="2">
        <f t="shared" si="9"/>
        <v>0</v>
      </c>
      <c r="O28" t="s">
        <v>909</v>
      </c>
    </row>
    <row r="29" spans="1:16" ht="12.75">
      <c r="A29" t="s">
        <v>1156</v>
      </c>
      <c r="C29" s="2">
        <f>B29/($O$17/100)/12</f>
        <v>0</v>
      </c>
      <c r="D29" s="2">
        <v>0</v>
      </c>
      <c r="E29" s="2">
        <f t="shared" si="1"/>
        <v>0</v>
      </c>
      <c r="F29" s="4">
        <f>(B29*D29)/0.9</f>
        <v>0</v>
      </c>
      <c r="G29" s="2">
        <f t="shared" si="3"/>
        <v>0</v>
      </c>
      <c r="H29" s="2">
        <f t="shared" si="4"/>
        <v>0</v>
      </c>
      <c r="I29" s="2">
        <f t="shared" si="5"/>
        <v>0</v>
      </c>
      <c r="J29" s="2">
        <f t="shared" si="6"/>
        <v>0</v>
      </c>
      <c r="K29" s="2">
        <f t="shared" si="7"/>
        <v>0</v>
      </c>
      <c r="L29" s="2">
        <f t="shared" si="8"/>
        <v>0</v>
      </c>
      <c r="M29" s="2">
        <f t="shared" si="9"/>
        <v>0</v>
      </c>
      <c r="O29" t="s">
        <v>910</v>
      </c>
      <c r="P29" t="s">
        <v>911</v>
      </c>
    </row>
    <row r="30" spans="1:16" ht="12.75">
      <c r="A30" s="8" t="s">
        <v>1080</v>
      </c>
      <c r="B30" s="10">
        <f>SUM(B3:B29)</f>
        <v>103.4</v>
      </c>
      <c r="C30" s="2">
        <f>SUM(C3:C29)</f>
        <v>10.167274074074076</v>
      </c>
      <c r="D30" s="2"/>
      <c r="E30" s="2">
        <f>SUM(E3:E29)</f>
        <v>88.36642962962964</v>
      </c>
      <c r="F30" s="4">
        <f>SUM(F3:F29)</f>
        <v>1068.9392355555556</v>
      </c>
      <c r="G30" s="2" t="s">
        <v>1019</v>
      </c>
      <c r="H30" s="2" t="s">
        <v>355</v>
      </c>
      <c r="I30" s="2" t="s">
        <v>356</v>
      </c>
      <c r="J30" s="42" t="s">
        <v>357</v>
      </c>
      <c r="K30" s="2" t="s">
        <v>358</v>
      </c>
      <c r="L30" s="2" t="s">
        <v>359</v>
      </c>
      <c r="M30" s="10">
        <f>M2</f>
        <v>7</v>
      </c>
      <c r="N30" s="2" t="s">
        <v>1026</v>
      </c>
      <c r="P30" t="s">
        <v>912</v>
      </c>
    </row>
    <row r="31" spans="4:16" ht="12.75">
      <c r="D31" t="s">
        <v>884</v>
      </c>
      <c r="G31" s="2">
        <f aca="true" t="shared" si="12" ref="G31:M31">SUM(G3:G29)</f>
        <v>58.91095308641976</v>
      </c>
      <c r="H31" s="2">
        <f t="shared" si="12"/>
        <v>88.36642962962964</v>
      </c>
      <c r="I31" s="2">
        <f t="shared" si="12"/>
        <v>118.41101570370371</v>
      </c>
      <c r="J31" s="2">
        <f t="shared" si="12"/>
        <v>176.73285925925927</v>
      </c>
      <c r="K31" s="2">
        <f t="shared" si="12"/>
        <v>353.46571851851854</v>
      </c>
      <c r="L31" s="2">
        <f t="shared" si="12"/>
        <v>530.1985777777777</v>
      </c>
      <c r="M31" s="2">
        <f t="shared" si="12"/>
        <v>1237.1300148148148</v>
      </c>
      <c r="N31" t="s">
        <v>253</v>
      </c>
      <c r="P31" t="s">
        <v>913</v>
      </c>
    </row>
    <row r="32" spans="4:16" ht="12.75">
      <c r="D32" t="s">
        <v>244</v>
      </c>
      <c r="F32">
        <f>$O$16/2</f>
        <v>210</v>
      </c>
      <c r="G32" s="2">
        <f>G31/2</f>
        <v>29.45547654320988</v>
      </c>
      <c r="H32" s="2">
        <f>H31/2</f>
        <v>44.18321481481482</v>
      </c>
      <c r="I32" s="2">
        <f>I31/2</f>
        <v>59.205507851851856</v>
      </c>
      <c r="J32" s="2">
        <f>J31/2</f>
        <v>88.36642962962964</v>
      </c>
      <c r="K32" s="2">
        <f>J32*2</f>
        <v>176.73285925925927</v>
      </c>
      <c r="L32" s="2">
        <f>J32*3</f>
        <v>265.0992888888889</v>
      </c>
      <c r="M32" s="2">
        <f>J32*4</f>
        <v>353.46571851851854</v>
      </c>
      <c r="P32" t="s">
        <v>895</v>
      </c>
    </row>
    <row r="33" spans="4:16" ht="12.75">
      <c r="D33" t="s">
        <v>810</v>
      </c>
      <c r="G33" s="2">
        <f aca="true" t="shared" si="13" ref="G33:M33">G32/$O$16*100</f>
        <v>7.013208700764258</v>
      </c>
      <c r="H33" s="2">
        <f t="shared" si="13"/>
        <v>10.519813051146386</v>
      </c>
      <c r="I33" s="2">
        <f t="shared" si="13"/>
        <v>14.096549488536155</v>
      </c>
      <c r="J33" s="2">
        <f t="shared" si="13"/>
        <v>21.03962610229277</v>
      </c>
      <c r="K33" s="2">
        <f t="shared" si="13"/>
        <v>42.07925220458554</v>
      </c>
      <c r="L33" s="2">
        <f t="shared" si="13"/>
        <v>63.118878306878315</v>
      </c>
      <c r="M33" s="2">
        <f t="shared" si="13"/>
        <v>84.15850440917109</v>
      </c>
      <c r="P33" t="s">
        <v>896</v>
      </c>
    </row>
    <row r="34" spans="4:16" ht="12.75">
      <c r="D34" t="s">
        <v>811</v>
      </c>
      <c r="E34" s="22"/>
      <c r="F34" s="4"/>
      <c r="G34" s="2">
        <f aca="true" t="shared" si="14" ref="G34:M34">G32*1.15</f>
        <v>33.87379802469136</v>
      </c>
      <c r="H34" s="2">
        <f t="shared" si="14"/>
        <v>50.81069703703704</v>
      </c>
      <c r="I34" s="2">
        <f t="shared" si="14"/>
        <v>68.08633402962963</v>
      </c>
      <c r="J34" s="2">
        <f t="shared" si="14"/>
        <v>101.62139407407408</v>
      </c>
      <c r="K34" s="2">
        <f t="shared" si="14"/>
        <v>203.24278814814815</v>
      </c>
      <c r="L34" s="2">
        <f t="shared" si="14"/>
        <v>304.8641822222222</v>
      </c>
      <c r="M34" s="2">
        <f t="shared" si="14"/>
        <v>406.4855762962963</v>
      </c>
      <c r="N34" t="s">
        <v>812</v>
      </c>
      <c r="P34" t="s">
        <v>897</v>
      </c>
    </row>
    <row r="35" spans="1:16" ht="12.75">
      <c r="A35" t="s">
        <v>652</v>
      </c>
      <c r="F35" s="4"/>
      <c r="G35" s="2"/>
      <c r="H35" s="2"/>
      <c r="I35" s="2"/>
      <c r="J35" s="2"/>
      <c r="K35" s="2"/>
      <c r="L35" s="2"/>
      <c r="M35" s="2"/>
      <c r="P35" t="s">
        <v>898</v>
      </c>
    </row>
    <row r="36" spans="1:18" ht="12.75">
      <c r="A36" t="s">
        <v>653</v>
      </c>
      <c r="C36" t="s">
        <v>414</v>
      </c>
      <c r="E36" s="39" t="s">
        <v>656</v>
      </c>
      <c r="F36" s="46" t="s">
        <v>651</v>
      </c>
      <c r="G36" s="2" t="s">
        <v>831</v>
      </c>
      <c r="H36" s="2"/>
      <c r="I36" s="2"/>
      <c r="J36" s="2"/>
      <c r="K36" s="2"/>
      <c r="L36" s="2"/>
      <c r="M36" s="2"/>
      <c r="O36" t="s">
        <v>564</v>
      </c>
      <c r="P36" t="s">
        <v>651</v>
      </c>
      <c r="Q36" s="34" t="s">
        <v>809</v>
      </c>
      <c r="R36" s="34" t="s">
        <v>887</v>
      </c>
    </row>
    <row r="37" spans="1:19" ht="12.75">
      <c r="A37" t="s">
        <v>654</v>
      </c>
      <c r="C37" t="s">
        <v>373</v>
      </c>
      <c r="E37">
        <v>400</v>
      </c>
      <c r="G37" s="2">
        <f>G34/O37</f>
        <v>1.2232204842249657</v>
      </c>
      <c r="H37" s="2">
        <f>H34/O37</f>
        <v>1.8348307263374486</v>
      </c>
      <c r="I37" s="2">
        <f>I34/O37</f>
        <v>2.4586731732921807</v>
      </c>
      <c r="J37" s="2">
        <f>J34/O37</f>
        <v>3.669661452674897</v>
      </c>
      <c r="K37" s="2">
        <f aca="true" t="shared" si="15" ref="K37:K60">J37*2</f>
        <v>7.339322905349794</v>
      </c>
      <c r="L37" s="2">
        <f aca="true" t="shared" si="16" ref="L37:L60">J37*3</f>
        <v>11.00898435802469</v>
      </c>
      <c r="M37" s="2">
        <f aca="true" t="shared" si="17" ref="M37:M60">J37*4</f>
        <v>14.678645810699589</v>
      </c>
      <c r="N37" t="s">
        <v>1142</v>
      </c>
      <c r="O37" s="2">
        <f>E37/13*0.9</f>
        <v>27.692307692307693</v>
      </c>
      <c r="Q37" s="10">
        <f>O37*Q161</f>
        <v>92.49230769230769</v>
      </c>
      <c r="R37" s="4">
        <f aca="true" t="shared" si="18" ref="R37:R60">Q37*12</f>
        <v>1109.9076923076923</v>
      </c>
      <c r="S37" t="s">
        <v>1015</v>
      </c>
    </row>
    <row r="38" spans="1:18" ht="12.75">
      <c r="A38" t="s">
        <v>655</v>
      </c>
      <c r="F38" s="4">
        <f>E37*0.726</f>
        <v>290.4</v>
      </c>
      <c r="G38" s="2">
        <f>G$34/$P38</f>
        <v>1.684876700034388</v>
      </c>
      <c r="H38" s="2">
        <f>H$34/$P38</f>
        <v>2.5273150500515817</v>
      </c>
      <c r="I38" s="2">
        <f>I$34/$P38</f>
        <v>3.3866021670691198</v>
      </c>
      <c r="J38" s="2">
        <f>J$34/$P38</f>
        <v>5.0546301001031635</v>
      </c>
      <c r="K38" s="2">
        <f t="shared" si="15"/>
        <v>10.109260200206327</v>
      </c>
      <c r="L38" s="2">
        <f t="shared" si="16"/>
        <v>15.16389030030949</v>
      </c>
      <c r="M38" s="2">
        <f t="shared" si="17"/>
        <v>20.218520400412654</v>
      </c>
      <c r="P38" s="2">
        <f>F38/13*0.9</f>
        <v>20.104615384615386</v>
      </c>
      <c r="Q38" s="10">
        <f>P38*Q161</f>
        <v>67.14941538461538</v>
      </c>
      <c r="R38" s="4">
        <f t="shared" si="18"/>
        <v>805.7929846153845</v>
      </c>
    </row>
    <row r="39" spans="3:19" ht="12.75">
      <c r="C39" t="s">
        <v>399</v>
      </c>
      <c r="E39">
        <v>400</v>
      </c>
      <c r="G39" s="2">
        <f>G$34/O39</f>
        <v>1.2232204842249657</v>
      </c>
      <c r="H39" s="2">
        <f>H34/O39</f>
        <v>1.8348307263374486</v>
      </c>
      <c r="I39" s="2">
        <f>I34/O39</f>
        <v>2.4586731732921807</v>
      </c>
      <c r="J39" s="2">
        <f>J34/O39</f>
        <v>3.669661452674897</v>
      </c>
      <c r="K39" s="2">
        <f t="shared" si="15"/>
        <v>7.339322905349794</v>
      </c>
      <c r="L39" s="2">
        <f t="shared" si="16"/>
        <v>11.00898435802469</v>
      </c>
      <c r="M39" s="2">
        <f t="shared" si="17"/>
        <v>14.678645810699589</v>
      </c>
      <c r="N39" t="s">
        <v>1142</v>
      </c>
      <c r="O39" s="2">
        <f>E39/13*0.9</f>
        <v>27.692307692307693</v>
      </c>
      <c r="Q39" s="10">
        <f>O39*Q163</f>
        <v>140.95384615384614</v>
      </c>
      <c r="R39" s="4">
        <f t="shared" si="18"/>
        <v>1691.4461538461537</v>
      </c>
      <c r="S39" t="s">
        <v>1016</v>
      </c>
    </row>
    <row r="40" spans="6:18" ht="12.75">
      <c r="F40" s="4">
        <f>E39*0.726</f>
        <v>290.4</v>
      </c>
      <c r="G40" s="2">
        <f>G$34/$P40</f>
        <v>1.684876700034388</v>
      </c>
      <c r="H40" s="2">
        <f>H$34/$P40</f>
        <v>2.5273150500515817</v>
      </c>
      <c r="I40" s="2">
        <f>I$34/$P40</f>
        <v>3.3866021670691198</v>
      </c>
      <c r="J40" s="2">
        <f>J$34/$P40</f>
        <v>5.0546301001031635</v>
      </c>
      <c r="K40" s="2">
        <f t="shared" si="15"/>
        <v>10.109260200206327</v>
      </c>
      <c r="L40" s="2">
        <f t="shared" si="16"/>
        <v>15.16389030030949</v>
      </c>
      <c r="M40" s="2">
        <f t="shared" si="17"/>
        <v>20.218520400412654</v>
      </c>
      <c r="P40" s="2">
        <f>F40/13*0.9</f>
        <v>20.104615384615386</v>
      </c>
      <c r="Q40" s="10">
        <f>P40*Q163</f>
        <v>102.3324923076923</v>
      </c>
      <c r="R40" s="4">
        <f t="shared" si="18"/>
        <v>1227.9899076923077</v>
      </c>
    </row>
    <row r="41" spans="3:18" ht="12.75">
      <c r="C41" t="s">
        <v>373</v>
      </c>
      <c r="E41">
        <v>500</v>
      </c>
      <c r="G41" s="2">
        <f>G34/O41</f>
        <v>0.9785763873799727</v>
      </c>
      <c r="H41" s="2">
        <f>H34/O41</f>
        <v>1.4678645810699589</v>
      </c>
      <c r="I41" s="2">
        <f>I34/O41</f>
        <v>1.9669385386337448</v>
      </c>
      <c r="J41" s="2">
        <f>J34/O41</f>
        <v>2.9357291621399177</v>
      </c>
      <c r="K41" s="2">
        <f t="shared" si="15"/>
        <v>5.8714583242798355</v>
      </c>
      <c r="L41" s="2">
        <f t="shared" si="16"/>
        <v>8.807187486419753</v>
      </c>
      <c r="M41" s="2">
        <f t="shared" si="17"/>
        <v>11.742916648559671</v>
      </c>
      <c r="N41" t="s">
        <v>1142</v>
      </c>
      <c r="O41" s="2">
        <f>E41/13*0.9</f>
        <v>34.61538461538461</v>
      </c>
      <c r="Q41" s="10">
        <f>O41*Q161</f>
        <v>115.6153846153846</v>
      </c>
      <c r="R41" s="4">
        <f t="shared" si="18"/>
        <v>1387.3846153846152</v>
      </c>
    </row>
    <row r="42" spans="6:18" ht="12.75">
      <c r="F42" s="4">
        <f>E41*0.726</f>
        <v>363</v>
      </c>
      <c r="G42" s="2">
        <f>G$34/$P42</f>
        <v>1.3479013600275105</v>
      </c>
      <c r="H42" s="2">
        <f>H$34/$P42</f>
        <v>2.0218520400412654</v>
      </c>
      <c r="I42" s="2">
        <f>I$34/$P42</f>
        <v>2.7092817336552955</v>
      </c>
      <c r="J42" s="2">
        <f>J$34/$P42</f>
        <v>4.043704080082531</v>
      </c>
      <c r="K42" s="2">
        <f t="shared" si="15"/>
        <v>8.087408160165062</v>
      </c>
      <c r="L42" s="2">
        <f t="shared" si="16"/>
        <v>12.131112240247592</v>
      </c>
      <c r="M42" s="2">
        <f t="shared" si="17"/>
        <v>16.174816320330123</v>
      </c>
      <c r="P42" s="2">
        <f>F42/13*0.9</f>
        <v>25.130769230769232</v>
      </c>
      <c r="Q42" s="10">
        <f>P42*Q161</f>
        <v>83.93676923076923</v>
      </c>
      <c r="R42" s="4">
        <f t="shared" si="18"/>
        <v>1007.2412307692307</v>
      </c>
    </row>
    <row r="43" spans="1:18" ht="12.75">
      <c r="A43" t="s">
        <v>551</v>
      </c>
      <c r="C43" t="s">
        <v>399</v>
      </c>
      <c r="E43">
        <v>500</v>
      </c>
      <c r="G43" s="2">
        <f>G34/O43</f>
        <v>0.9785763873799727</v>
      </c>
      <c r="H43" s="2">
        <f>H34/O43</f>
        <v>1.4678645810699589</v>
      </c>
      <c r="I43" s="2">
        <f>I34/O43</f>
        <v>1.9669385386337448</v>
      </c>
      <c r="J43" s="2">
        <f>J34/O43</f>
        <v>2.9357291621399177</v>
      </c>
      <c r="K43" s="2">
        <f t="shared" si="15"/>
        <v>5.8714583242798355</v>
      </c>
      <c r="L43" s="2">
        <f t="shared" si="16"/>
        <v>8.807187486419753</v>
      </c>
      <c r="M43" s="2">
        <f t="shared" si="17"/>
        <v>11.742916648559671</v>
      </c>
      <c r="N43" t="s">
        <v>1142</v>
      </c>
      <c r="O43" s="2">
        <f>E43/13*0.9</f>
        <v>34.61538461538461</v>
      </c>
      <c r="Q43" s="10">
        <f>O43*Q163</f>
        <v>176.19230769230768</v>
      </c>
      <c r="R43" s="4">
        <f t="shared" si="18"/>
        <v>2114.3076923076924</v>
      </c>
    </row>
    <row r="44" spans="2:18" ht="12.75">
      <c r="B44" s="37"/>
      <c r="F44" s="4">
        <f>E43*0.726</f>
        <v>363</v>
      </c>
      <c r="G44" s="2">
        <f>G$34/$P44</f>
        <v>1.3479013600275105</v>
      </c>
      <c r="H44" s="2">
        <f>H$34/$P44</f>
        <v>2.0218520400412654</v>
      </c>
      <c r="I44" s="2">
        <f>I$34/$P44</f>
        <v>2.7092817336552955</v>
      </c>
      <c r="J44" s="2">
        <f>J$34/$P44</f>
        <v>4.043704080082531</v>
      </c>
      <c r="K44" s="2">
        <f t="shared" si="15"/>
        <v>8.087408160165062</v>
      </c>
      <c r="L44" s="2">
        <f t="shared" si="16"/>
        <v>12.131112240247592</v>
      </c>
      <c r="M44" s="2">
        <f t="shared" si="17"/>
        <v>16.174816320330123</v>
      </c>
      <c r="P44" s="2">
        <f>F44/13*0.9</f>
        <v>25.130769230769232</v>
      </c>
      <c r="Q44" s="10">
        <f>P44*Q163</f>
        <v>127.91561538461539</v>
      </c>
      <c r="R44" s="4">
        <f t="shared" si="18"/>
        <v>1534.9873846153846</v>
      </c>
    </row>
    <row r="45" spans="1:20" ht="12.75">
      <c r="A45" t="s">
        <v>179</v>
      </c>
      <c r="B45" s="38"/>
      <c r="C45" t="s">
        <v>373</v>
      </c>
      <c r="E45">
        <v>1110</v>
      </c>
      <c r="G45" s="2">
        <f>G34/O45</f>
        <v>0.44080017449548314</v>
      </c>
      <c r="H45" s="2">
        <f>H34/O45</f>
        <v>0.6612002617432247</v>
      </c>
      <c r="I45" s="2">
        <f>I34/O45</f>
        <v>0.886008350735921</v>
      </c>
      <c r="J45" s="2">
        <f>J34/O45</f>
        <v>1.3224005234864493</v>
      </c>
      <c r="K45" s="2">
        <f t="shared" si="15"/>
        <v>2.6448010469728986</v>
      </c>
      <c r="L45" s="2">
        <f t="shared" si="16"/>
        <v>3.967201570459348</v>
      </c>
      <c r="M45" s="2">
        <f t="shared" si="17"/>
        <v>5.289602093945797</v>
      </c>
      <c r="N45" t="s">
        <v>1142</v>
      </c>
      <c r="O45" s="2">
        <f>E45/13*0.9</f>
        <v>76.84615384615385</v>
      </c>
      <c r="Q45" s="10">
        <f>O45*Q161</f>
        <v>256.66615384615386</v>
      </c>
      <c r="R45" s="4">
        <f t="shared" si="18"/>
        <v>3079.9938461538463</v>
      </c>
      <c r="S45" t="s">
        <v>954</v>
      </c>
      <c r="T45" t="s">
        <v>955</v>
      </c>
    </row>
    <row r="46" spans="1:20" ht="12.75">
      <c r="A46" t="s">
        <v>180</v>
      </c>
      <c r="B46" s="38"/>
      <c r="F46" s="4">
        <f>E45*0.726</f>
        <v>805.86</v>
      </c>
      <c r="G46" s="2">
        <f>G$34/$P46</f>
        <v>0.6071627747871668</v>
      </c>
      <c r="H46" s="2">
        <f>H$34/$P46</f>
        <v>0.9107441621807502</v>
      </c>
      <c r="I46" s="2">
        <f>I$34/$P46</f>
        <v>1.220397177322205</v>
      </c>
      <c r="J46" s="2">
        <f>J$34/$P46</f>
        <v>1.8214883243615003</v>
      </c>
      <c r="K46" s="2">
        <f t="shared" si="15"/>
        <v>3.6429766487230006</v>
      </c>
      <c r="L46" s="2">
        <f t="shared" si="16"/>
        <v>5.464464973084501</v>
      </c>
      <c r="M46" s="2">
        <f t="shared" si="17"/>
        <v>7.285953297446001</v>
      </c>
      <c r="O46" s="2"/>
      <c r="P46" s="2">
        <f>F46/13*0.9</f>
        <v>55.7903076923077</v>
      </c>
      <c r="Q46" s="10">
        <f>P46*Q161</f>
        <v>186.33962769230772</v>
      </c>
      <c r="R46" s="4">
        <f t="shared" si="18"/>
        <v>2236.075532307693</v>
      </c>
      <c r="S46">
        <f>G34/8</f>
        <v>4.23422475308642</v>
      </c>
      <c r="T46">
        <f>G46/8</f>
        <v>0.07589534684839586</v>
      </c>
    </row>
    <row r="47" spans="1:18" ht="12.75">
      <c r="A47" t="s">
        <v>299</v>
      </c>
      <c r="B47" s="37"/>
      <c r="C47" t="s">
        <v>399</v>
      </c>
      <c r="E47">
        <v>1110</v>
      </c>
      <c r="G47" s="2">
        <f>G34/O47</f>
        <v>0.44080017449548314</v>
      </c>
      <c r="H47" s="2">
        <f>H34/O47</f>
        <v>0.6612002617432247</v>
      </c>
      <c r="I47" s="2">
        <f>I34/O47</f>
        <v>0.886008350735921</v>
      </c>
      <c r="J47" s="2">
        <f>J34/O47</f>
        <v>1.3224005234864493</v>
      </c>
      <c r="K47" s="2">
        <f t="shared" si="15"/>
        <v>2.6448010469728986</v>
      </c>
      <c r="L47" s="2">
        <f t="shared" si="16"/>
        <v>3.967201570459348</v>
      </c>
      <c r="M47" s="2">
        <f t="shared" si="17"/>
        <v>5.289602093945797</v>
      </c>
      <c r="N47" t="s">
        <v>1142</v>
      </c>
      <c r="O47" s="2">
        <f>E47/13*0.9</f>
        <v>76.84615384615385</v>
      </c>
      <c r="Q47" s="10">
        <f>O47*Q163</f>
        <v>391.1469230769231</v>
      </c>
      <c r="R47" s="4">
        <f t="shared" si="18"/>
        <v>4693.763076923077</v>
      </c>
    </row>
    <row r="48" spans="1:18" ht="12.75">
      <c r="A48" t="s">
        <v>178</v>
      </c>
      <c r="F48" s="4">
        <f>E47*0.726</f>
        <v>805.86</v>
      </c>
      <c r="G48" s="2">
        <f>G$34/$P48</f>
        <v>0.6071627747871668</v>
      </c>
      <c r="H48" s="2">
        <f>H$34/$P48</f>
        <v>0.9107441621807502</v>
      </c>
      <c r="I48" s="2">
        <f>I$34/$P48</f>
        <v>1.220397177322205</v>
      </c>
      <c r="J48" s="2">
        <f>J$34/$P48</f>
        <v>1.8214883243615003</v>
      </c>
      <c r="K48" s="2">
        <f t="shared" si="15"/>
        <v>3.6429766487230006</v>
      </c>
      <c r="L48" s="2">
        <f t="shared" si="16"/>
        <v>5.464464973084501</v>
      </c>
      <c r="M48" s="2">
        <f t="shared" si="17"/>
        <v>7.285953297446001</v>
      </c>
      <c r="O48" s="2"/>
      <c r="P48" s="2">
        <f>F48/13*0.9</f>
        <v>55.7903076923077</v>
      </c>
      <c r="Q48" s="10">
        <f>P48*Q163</f>
        <v>283.9726661538462</v>
      </c>
      <c r="R48" s="4">
        <f t="shared" si="18"/>
        <v>3407.6719938461547</v>
      </c>
    </row>
    <row r="49" spans="1:18" ht="12.75">
      <c r="A49" t="s">
        <v>181</v>
      </c>
      <c r="B49" s="19"/>
      <c r="C49" t="s">
        <v>373</v>
      </c>
      <c r="E49">
        <v>1510</v>
      </c>
      <c r="G49" s="2">
        <f>G34/O49</f>
        <v>0.3240319163509843</v>
      </c>
      <c r="H49" s="2">
        <f>H34/O49</f>
        <v>0.4860478745264764</v>
      </c>
      <c r="I49" s="2">
        <f>I34/O49</f>
        <v>0.6513041518654783</v>
      </c>
      <c r="J49" s="2">
        <f>J34/O49</f>
        <v>0.9720957490529528</v>
      </c>
      <c r="K49" s="2">
        <f t="shared" si="15"/>
        <v>1.9441914981059056</v>
      </c>
      <c r="L49" s="2">
        <f t="shared" si="16"/>
        <v>2.9162872471588583</v>
      </c>
      <c r="M49" s="2">
        <f t="shared" si="17"/>
        <v>3.8883829962118113</v>
      </c>
      <c r="N49" t="s">
        <v>1142</v>
      </c>
      <c r="O49" s="2">
        <f>E49/13*0.9</f>
        <v>104.53846153846155</v>
      </c>
      <c r="Q49" s="10">
        <f>O49*Q161</f>
        <v>349.15846153846155</v>
      </c>
      <c r="R49" s="4">
        <f t="shared" si="18"/>
        <v>4189.901538461539</v>
      </c>
    </row>
    <row r="50" spans="1:18" ht="12.75">
      <c r="A50" t="s">
        <v>334</v>
      </c>
      <c r="B50" s="19"/>
      <c r="C50" s="3"/>
      <c r="F50" s="4">
        <f>E49*0.726</f>
        <v>1096.26</v>
      </c>
      <c r="G50" s="2">
        <f>G$34/$P50</f>
        <v>0.44632495365149355</v>
      </c>
      <c r="H50" s="2">
        <f>H$34/$P50</f>
        <v>0.6694874304772402</v>
      </c>
      <c r="I50" s="2">
        <f>I$34/$P50</f>
        <v>0.8971131568395019</v>
      </c>
      <c r="J50" s="2">
        <f>J$34/$P50</f>
        <v>1.3389748609544805</v>
      </c>
      <c r="K50" s="2">
        <f t="shared" si="15"/>
        <v>2.677949721908961</v>
      </c>
      <c r="L50" s="2">
        <f t="shared" si="16"/>
        <v>4.0169245828634415</v>
      </c>
      <c r="M50" s="2">
        <f t="shared" si="17"/>
        <v>5.355899443817922</v>
      </c>
      <c r="P50" s="2">
        <f>F50/13*0.9</f>
        <v>75.89492307692308</v>
      </c>
      <c r="Q50" s="10">
        <f>P50*Q161</f>
        <v>253.48904307692308</v>
      </c>
      <c r="R50" s="4">
        <f t="shared" si="18"/>
        <v>3041.868516923077</v>
      </c>
    </row>
    <row r="51" spans="1:18" ht="12.75">
      <c r="A51" t="s">
        <v>371</v>
      </c>
      <c r="B51" s="19"/>
      <c r="C51" t="s">
        <v>399</v>
      </c>
      <c r="E51">
        <v>1510</v>
      </c>
      <c r="F51" s="10"/>
      <c r="G51" s="2">
        <f>G34/O51</f>
        <v>0.3240319163509843</v>
      </c>
      <c r="H51" s="2">
        <f>H34/O51</f>
        <v>0.4860478745264764</v>
      </c>
      <c r="I51" s="2">
        <f>I34/O51</f>
        <v>0.6513041518654783</v>
      </c>
      <c r="J51" s="2">
        <f>J34/O51</f>
        <v>0.9720957490529528</v>
      </c>
      <c r="K51" s="2">
        <f t="shared" si="15"/>
        <v>1.9441914981059056</v>
      </c>
      <c r="L51" s="2">
        <f t="shared" si="16"/>
        <v>2.9162872471588583</v>
      </c>
      <c r="M51" s="2">
        <f t="shared" si="17"/>
        <v>3.8883829962118113</v>
      </c>
      <c r="N51" t="s">
        <v>1142</v>
      </c>
      <c r="O51" s="2">
        <f>E51/13*0.9</f>
        <v>104.53846153846155</v>
      </c>
      <c r="Q51" s="10">
        <f>O51*Q163</f>
        <v>532.1007692307693</v>
      </c>
      <c r="R51" s="4">
        <f t="shared" si="18"/>
        <v>6385.209230769231</v>
      </c>
    </row>
    <row r="52" spans="2:18" ht="12.75">
      <c r="B52" s="19"/>
      <c r="F52" s="4">
        <f>E51*0.726</f>
        <v>1096.26</v>
      </c>
      <c r="G52" s="2">
        <f>G$34/$P52</f>
        <v>0.44632495365149355</v>
      </c>
      <c r="H52" s="2">
        <f>H$34/$P52</f>
        <v>0.6694874304772402</v>
      </c>
      <c r="I52" s="2">
        <f>I$34/$P52</f>
        <v>0.8971131568395019</v>
      </c>
      <c r="J52" s="2">
        <f>J$34/$P52</f>
        <v>1.3389748609544805</v>
      </c>
      <c r="K52" s="2">
        <f t="shared" si="15"/>
        <v>2.677949721908961</v>
      </c>
      <c r="L52" s="2">
        <f t="shared" si="16"/>
        <v>4.0169245828634415</v>
      </c>
      <c r="M52" s="2">
        <f t="shared" si="17"/>
        <v>5.355899443817922</v>
      </c>
      <c r="P52" s="2">
        <f>F52/13*0.9</f>
        <v>75.89492307692308</v>
      </c>
      <c r="Q52" s="10">
        <f>P52*Q163</f>
        <v>386.30515846153844</v>
      </c>
      <c r="R52" s="4">
        <f t="shared" si="18"/>
        <v>4635.661901538461</v>
      </c>
    </row>
    <row r="53" spans="1:18" ht="12.75">
      <c r="A53" s="24" t="s">
        <v>552</v>
      </c>
      <c r="C53" t="s">
        <v>373</v>
      </c>
      <c r="E53">
        <v>1900</v>
      </c>
      <c r="G53" s="2">
        <f>G34/O53</f>
        <v>0.25752010194209807</v>
      </c>
      <c r="H53" s="2">
        <f>H34/O53</f>
        <v>0.38628015291314705</v>
      </c>
      <c r="I53" s="2">
        <f>I34/O53</f>
        <v>0.517615404903617</v>
      </c>
      <c r="J53" s="2">
        <f>J34/O53</f>
        <v>0.7725603058262941</v>
      </c>
      <c r="K53" s="2">
        <f t="shared" si="15"/>
        <v>1.5451206116525882</v>
      </c>
      <c r="L53" s="2">
        <f t="shared" si="16"/>
        <v>2.3176809174788824</v>
      </c>
      <c r="M53" s="2">
        <f t="shared" si="17"/>
        <v>3.0902412233051764</v>
      </c>
      <c r="N53" t="s">
        <v>1142</v>
      </c>
      <c r="O53" s="2">
        <f>E53/13*0.9</f>
        <v>131.53846153846155</v>
      </c>
      <c r="Q53" s="10">
        <f>O53*Q161</f>
        <v>439.33846153846156</v>
      </c>
      <c r="R53" s="4">
        <f t="shared" si="18"/>
        <v>5272.0615384615385</v>
      </c>
    </row>
    <row r="54" spans="1:18" ht="12.75">
      <c r="A54" t="s">
        <v>553</v>
      </c>
      <c r="C54" s="3" t="s">
        <v>971</v>
      </c>
      <c r="F54" s="4">
        <f>E53*0.726</f>
        <v>1379.3999999999999</v>
      </c>
      <c r="G54" s="2">
        <f>G$34/$P54</f>
        <v>0.3547108842177659</v>
      </c>
      <c r="H54" s="2">
        <f>H$34/$P54</f>
        <v>0.5320663263266489</v>
      </c>
      <c r="I54" s="2">
        <f>I$34/$P54</f>
        <v>0.7129688772777094</v>
      </c>
      <c r="J54" s="2">
        <f>J$34/$P54</f>
        <v>1.0641326526532977</v>
      </c>
      <c r="K54" s="2">
        <f t="shared" si="15"/>
        <v>2.1282653053065954</v>
      </c>
      <c r="L54" s="2">
        <f t="shared" si="16"/>
        <v>3.1923979579598933</v>
      </c>
      <c r="M54" s="2">
        <f t="shared" si="17"/>
        <v>4.256530610613191</v>
      </c>
      <c r="P54" s="2">
        <f>F54/13*0.9</f>
        <v>95.49692307692308</v>
      </c>
      <c r="Q54" s="10">
        <f>P54*Q161</f>
        <v>318.95972307692307</v>
      </c>
      <c r="R54" s="4">
        <f t="shared" si="18"/>
        <v>3827.516676923077</v>
      </c>
    </row>
    <row r="55" spans="1:18" ht="12.75">
      <c r="A55" t="s">
        <v>554</v>
      </c>
      <c r="C55" t="s">
        <v>399</v>
      </c>
      <c r="E55">
        <v>1900</v>
      </c>
      <c r="G55" s="2">
        <f>G34/O55</f>
        <v>0.25752010194209807</v>
      </c>
      <c r="H55" s="2">
        <f>H34/O55</f>
        <v>0.38628015291314705</v>
      </c>
      <c r="I55" s="2">
        <f>I34/O55</f>
        <v>0.517615404903617</v>
      </c>
      <c r="J55" s="2">
        <f>J34/O55</f>
        <v>0.7725603058262941</v>
      </c>
      <c r="K55" s="2">
        <f t="shared" si="15"/>
        <v>1.5451206116525882</v>
      </c>
      <c r="L55" s="2">
        <f t="shared" si="16"/>
        <v>2.3176809174788824</v>
      </c>
      <c r="M55" s="2">
        <f t="shared" si="17"/>
        <v>3.0902412233051764</v>
      </c>
      <c r="N55" t="s">
        <v>1142</v>
      </c>
      <c r="O55" s="2">
        <f>E55/13*0.9</f>
        <v>131.53846153846155</v>
      </c>
      <c r="Q55" s="10">
        <f>O55*Q163</f>
        <v>669.5307692307692</v>
      </c>
      <c r="R55" s="4">
        <f t="shared" si="18"/>
        <v>8034.369230769231</v>
      </c>
    </row>
    <row r="56" spans="1:18" ht="12.75">
      <c r="A56" t="s">
        <v>555</v>
      </c>
      <c r="F56" s="4">
        <f>E55*0.726</f>
        <v>1379.3999999999999</v>
      </c>
      <c r="G56" s="2">
        <f>G$34/$P56</f>
        <v>0.3547108842177659</v>
      </c>
      <c r="H56" s="2">
        <f>H$34/$P56</f>
        <v>0.5320663263266489</v>
      </c>
      <c r="I56" s="2">
        <f>I$34/$P56</f>
        <v>0.7129688772777094</v>
      </c>
      <c r="J56" s="2">
        <f>J$34/$P56</f>
        <v>1.0641326526532977</v>
      </c>
      <c r="K56" s="2">
        <f t="shared" si="15"/>
        <v>2.1282653053065954</v>
      </c>
      <c r="L56" s="2">
        <f t="shared" si="16"/>
        <v>3.1923979579598933</v>
      </c>
      <c r="M56" s="2">
        <f t="shared" si="17"/>
        <v>4.256530610613191</v>
      </c>
      <c r="P56" s="2">
        <f>F56/13*0.9</f>
        <v>95.49692307692308</v>
      </c>
      <c r="Q56" s="10">
        <f>P56*Q163</f>
        <v>486.0793384615385</v>
      </c>
      <c r="R56" s="4">
        <f t="shared" si="18"/>
        <v>5832.952061538462</v>
      </c>
    </row>
    <row r="57" spans="1:18" ht="12.75">
      <c r="A57" t="s">
        <v>556</v>
      </c>
      <c r="C57" t="s">
        <v>373</v>
      </c>
      <c r="E57">
        <v>2400</v>
      </c>
      <c r="G57" s="2">
        <f>G34/O57</f>
        <v>0.20387008070416096</v>
      </c>
      <c r="H57" s="2">
        <f>H34/O57</f>
        <v>0.3058051210562414</v>
      </c>
      <c r="I57" s="2">
        <f>I34/O57</f>
        <v>0.40977886221536347</v>
      </c>
      <c r="J57" s="2">
        <f>J34/O57</f>
        <v>0.6116102421124828</v>
      </c>
      <c r="K57" s="2">
        <f t="shared" si="15"/>
        <v>1.2232204842249657</v>
      </c>
      <c r="L57" s="2">
        <f t="shared" si="16"/>
        <v>1.8348307263374486</v>
      </c>
      <c r="M57" s="2">
        <f t="shared" si="17"/>
        <v>2.4464409684499313</v>
      </c>
      <c r="N57" t="s">
        <v>1142</v>
      </c>
      <c r="O57" s="2">
        <f>E57/13*0.9</f>
        <v>166.15384615384616</v>
      </c>
      <c r="Q57" s="10">
        <f>O57*Q161</f>
        <v>554.9538461538461</v>
      </c>
      <c r="R57" s="4">
        <f t="shared" si="18"/>
        <v>6659.446153846154</v>
      </c>
    </row>
    <row r="58" spans="1:18" ht="12.75">
      <c r="A58" t="s">
        <v>562</v>
      </c>
      <c r="C58" s="3" t="s">
        <v>972</v>
      </c>
      <c r="F58" s="4">
        <f>E57*0.726</f>
        <v>1742.3999999999999</v>
      </c>
      <c r="G58" s="2">
        <f>G$34/$P58</f>
        <v>0.28081278333906473</v>
      </c>
      <c r="H58" s="2">
        <f>H$34/$P58</f>
        <v>0.42121917500859707</v>
      </c>
      <c r="I58" s="2">
        <f>I$34/$P58</f>
        <v>0.56443369451152</v>
      </c>
      <c r="J58" s="2">
        <f>J$34/$P58</f>
        <v>0.8424383500171941</v>
      </c>
      <c r="K58" s="2">
        <f t="shared" si="15"/>
        <v>1.6848767000343883</v>
      </c>
      <c r="L58" s="2">
        <f t="shared" si="16"/>
        <v>2.527315050051582</v>
      </c>
      <c r="M58" s="2">
        <f t="shared" si="17"/>
        <v>3.3697534000687765</v>
      </c>
      <c r="P58" s="2">
        <f>F58/13*0.9</f>
        <v>120.62769230769229</v>
      </c>
      <c r="Q58" s="10">
        <f>P58*Q161</f>
        <v>402.8964923076922</v>
      </c>
      <c r="R58" s="4">
        <f t="shared" si="18"/>
        <v>4834.757907692307</v>
      </c>
    </row>
    <row r="59" spans="1:18" ht="12.75">
      <c r="A59" t="s">
        <v>563</v>
      </c>
      <c r="C59" t="s">
        <v>399</v>
      </c>
      <c r="E59">
        <v>2400</v>
      </c>
      <c r="G59" s="2">
        <f>G34/O59</f>
        <v>0.20387008070416096</v>
      </c>
      <c r="H59" s="2">
        <f>H34/O59</f>
        <v>0.3058051210562414</v>
      </c>
      <c r="I59" s="2">
        <f>I34/O59</f>
        <v>0.40977886221536347</v>
      </c>
      <c r="J59" s="2">
        <f>J34/O59</f>
        <v>0.6116102421124828</v>
      </c>
      <c r="K59" s="2">
        <f t="shared" si="15"/>
        <v>1.2232204842249657</v>
      </c>
      <c r="L59" s="2">
        <f t="shared" si="16"/>
        <v>1.8348307263374486</v>
      </c>
      <c r="M59" s="2">
        <f t="shared" si="17"/>
        <v>2.4464409684499313</v>
      </c>
      <c r="N59" t="s">
        <v>1142</v>
      </c>
      <c r="O59" s="2">
        <f>E59/13*0.9</f>
        <v>166.15384615384616</v>
      </c>
      <c r="Q59" s="10">
        <f>O59*Q163</f>
        <v>845.723076923077</v>
      </c>
      <c r="R59" s="4">
        <f t="shared" si="18"/>
        <v>10148.676923076924</v>
      </c>
    </row>
    <row r="60" spans="1:18" ht="12.75">
      <c r="A60" t="s">
        <v>565</v>
      </c>
      <c r="F60" s="4">
        <f>E59*0.726</f>
        <v>1742.3999999999999</v>
      </c>
      <c r="G60" s="2">
        <f>G$34/$P60</f>
        <v>0.28081278333906473</v>
      </c>
      <c r="H60" s="2">
        <f>H$34/$P60</f>
        <v>0.42121917500859707</v>
      </c>
      <c r="I60" s="2">
        <f>I$34/$P60</f>
        <v>0.56443369451152</v>
      </c>
      <c r="J60" s="2">
        <f>J$34/$P60</f>
        <v>0.8424383500171941</v>
      </c>
      <c r="K60" s="2">
        <f t="shared" si="15"/>
        <v>1.6848767000343883</v>
      </c>
      <c r="L60" s="2">
        <f t="shared" si="16"/>
        <v>2.527315050051582</v>
      </c>
      <c r="M60" s="2">
        <f t="shared" si="17"/>
        <v>3.3697534000687765</v>
      </c>
      <c r="P60" s="2">
        <f>F60/13*0.9</f>
        <v>120.62769230769229</v>
      </c>
      <c r="Q60" s="10">
        <f>P60*Q163</f>
        <v>613.9949538461537</v>
      </c>
      <c r="R60" s="4">
        <f t="shared" si="18"/>
        <v>7367.939446153845</v>
      </c>
    </row>
    <row r="61" spans="1:13" ht="12.75">
      <c r="A61" t="s">
        <v>566</v>
      </c>
      <c r="G61" s="26"/>
      <c r="H61" s="26"/>
      <c r="I61" s="26"/>
      <c r="J61" s="26"/>
      <c r="K61" s="26"/>
      <c r="L61" s="26"/>
      <c r="M61" s="26"/>
    </row>
    <row r="62" spans="1:18" ht="12.75">
      <c r="A62" t="s">
        <v>569</v>
      </c>
      <c r="C62" t="s">
        <v>1143</v>
      </c>
      <c r="G62" s="25">
        <f>G34/O62</f>
        <v>0.521135354226021</v>
      </c>
      <c r="H62" s="25">
        <f>H34/O62</f>
        <v>0.7817030313390313</v>
      </c>
      <c r="I62" s="25">
        <f>I34/O62</f>
        <v>1.047482061994302</v>
      </c>
      <c r="J62" s="25">
        <f>J34/O62</f>
        <v>1.5634060626780626</v>
      </c>
      <c r="K62" s="25">
        <f>J62*2</f>
        <v>3.126812125356125</v>
      </c>
      <c r="L62" s="25">
        <f>J62*3</f>
        <v>4.690218188034188</v>
      </c>
      <c r="M62" s="25">
        <f>J62*4</f>
        <v>6.25362425071225</v>
      </c>
      <c r="N62" t="s">
        <v>1142</v>
      </c>
      <c r="O62" s="4">
        <v>65</v>
      </c>
      <c r="P62" t="s">
        <v>372</v>
      </c>
      <c r="R62" t="s">
        <v>953</v>
      </c>
    </row>
    <row r="63" spans="3:18" ht="12.75">
      <c r="C63" t="s">
        <v>938</v>
      </c>
      <c r="E63">
        <v>840</v>
      </c>
      <c r="G63" s="25">
        <f aca="true" t="shared" si="19" ref="G63:M63">G34/$O63</f>
        <v>0.5824859448690314</v>
      </c>
      <c r="H63" s="25">
        <f t="shared" si="19"/>
        <v>0.873728917303547</v>
      </c>
      <c r="I63" s="25">
        <f t="shared" si="19"/>
        <v>1.1707967491867528</v>
      </c>
      <c r="J63" s="25">
        <f t="shared" si="19"/>
        <v>1.747457834607094</v>
      </c>
      <c r="K63" s="25">
        <f t="shared" si="19"/>
        <v>3.494915669214188</v>
      </c>
      <c r="L63" s="25">
        <f t="shared" si="19"/>
        <v>5.242373503821281</v>
      </c>
      <c r="M63" s="25">
        <f t="shared" si="19"/>
        <v>6.989831338428376</v>
      </c>
      <c r="O63" s="2">
        <f>E63/13*0.9</f>
        <v>58.15384615384615</v>
      </c>
      <c r="R63" t="s">
        <v>945</v>
      </c>
    </row>
    <row r="64" spans="1:15" ht="12.75">
      <c r="A64" t="s">
        <v>940</v>
      </c>
      <c r="C64" t="s">
        <v>939</v>
      </c>
      <c r="G64" s="2"/>
      <c r="H64" s="2"/>
      <c r="I64" s="2"/>
      <c r="J64" s="22"/>
      <c r="K64" s="2"/>
      <c r="L64" s="2"/>
      <c r="M64" s="2"/>
      <c r="O64" s="2" t="s">
        <v>941</v>
      </c>
    </row>
    <row r="65" spans="7:15" ht="12.75">
      <c r="G65" s="39" t="s">
        <v>1021</v>
      </c>
      <c r="H65" s="39" t="s">
        <v>957</v>
      </c>
      <c r="I65" s="39" t="s">
        <v>958</v>
      </c>
      <c r="J65" s="43" t="s">
        <v>667</v>
      </c>
      <c r="K65" s="39" t="s">
        <v>967</v>
      </c>
      <c r="L65" s="39" t="s">
        <v>968</v>
      </c>
      <c r="M65" s="45">
        <f>M2</f>
        <v>7</v>
      </c>
      <c r="N65" s="39" t="s">
        <v>1026</v>
      </c>
      <c r="O65" t="s">
        <v>949</v>
      </c>
    </row>
    <row r="66" spans="1:15" ht="12.75">
      <c r="A66" t="s">
        <v>401</v>
      </c>
      <c r="O66" t="s">
        <v>950</v>
      </c>
    </row>
    <row r="67" spans="1:11" ht="12.75">
      <c r="A67" t="s">
        <v>400</v>
      </c>
      <c r="G67" s="2"/>
      <c r="H67" s="2"/>
      <c r="I67" s="2"/>
      <c r="J67" s="2"/>
      <c r="K67" s="3"/>
    </row>
    <row r="68" spans="15:16" ht="12.75">
      <c r="O68" s="2"/>
      <c r="P68" t="s">
        <v>634</v>
      </c>
    </row>
    <row r="69" spans="1:16" ht="12.75">
      <c r="A69" t="s">
        <v>464</v>
      </c>
      <c r="O69" s="2"/>
      <c r="P69" t="s">
        <v>635</v>
      </c>
    </row>
    <row r="70" spans="1:15" ht="12.75">
      <c r="A70" t="s">
        <v>467</v>
      </c>
      <c r="O70" s="2"/>
    </row>
    <row r="71" spans="1:15" ht="12.75">
      <c r="A71" t="s">
        <v>468</v>
      </c>
      <c r="O71" s="2"/>
    </row>
    <row r="72" spans="1:15" ht="12.75">
      <c r="A72" t="s">
        <v>1093</v>
      </c>
      <c r="M72" t="s">
        <v>933</v>
      </c>
      <c r="O72" s="2"/>
    </row>
    <row r="73" spans="1:13" ht="12.75">
      <c r="A73" t="s">
        <v>452</v>
      </c>
      <c r="M73" t="s">
        <v>937</v>
      </c>
    </row>
    <row r="74" spans="1:12" ht="12.75">
      <c r="A74" t="s">
        <v>453</v>
      </c>
      <c r="L74" t="s">
        <v>1094</v>
      </c>
    </row>
    <row r="75" spans="1:12" ht="12.75">
      <c r="A75" t="s">
        <v>457</v>
      </c>
      <c r="L75" t="s">
        <v>1104</v>
      </c>
    </row>
    <row r="76" ht="12.75">
      <c r="L76" t="s">
        <v>1095</v>
      </c>
    </row>
    <row r="77" spans="1:12" ht="12.75">
      <c r="A77" t="s">
        <v>429</v>
      </c>
      <c r="L77" t="s">
        <v>469</v>
      </c>
    </row>
    <row r="78" spans="1:12" ht="12.75">
      <c r="A78" t="s">
        <v>929</v>
      </c>
      <c r="L78" t="s">
        <v>423</v>
      </c>
    </row>
    <row r="79" ht="12.75">
      <c r="A79" t="s">
        <v>930</v>
      </c>
    </row>
    <row r="80" spans="1:12" ht="12.75">
      <c r="A80" t="s">
        <v>931</v>
      </c>
      <c r="L80" t="s">
        <v>13</v>
      </c>
    </row>
    <row r="81" spans="1:12" ht="12.75">
      <c r="A81" t="s">
        <v>932</v>
      </c>
      <c r="L81" t="s">
        <v>1106</v>
      </c>
    </row>
    <row r="82" ht="12.75">
      <c r="A82" t="s">
        <v>986</v>
      </c>
    </row>
    <row r="84" ht="12.75">
      <c r="A84" t="s">
        <v>636</v>
      </c>
    </row>
    <row r="85" ht="12.75">
      <c r="A85" t="s">
        <v>640</v>
      </c>
    </row>
    <row r="86" ht="12.75">
      <c r="A86" t="s">
        <v>637</v>
      </c>
    </row>
    <row r="87" ht="12.75">
      <c r="A87" t="s">
        <v>638</v>
      </c>
    </row>
    <row r="88" ht="12.75">
      <c r="L88" t="s">
        <v>1123</v>
      </c>
    </row>
    <row r="89" spans="1:12" ht="12.75">
      <c r="A89" s="11" t="s">
        <v>16</v>
      </c>
      <c r="B89" s="8"/>
      <c r="C89" s="8"/>
      <c r="G89" t="s">
        <v>973</v>
      </c>
      <c r="L89" t="s">
        <v>1107</v>
      </c>
    </row>
    <row r="90" spans="7:12" ht="12.75">
      <c r="G90" t="s">
        <v>983</v>
      </c>
      <c r="L90" t="s">
        <v>1108</v>
      </c>
    </row>
    <row r="91" spans="1:12" ht="12.75">
      <c r="A91" t="s">
        <v>1158</v>
      </c>
      <c r="E91" t="s">
        <v>1161</v>
      </c>
      <c r="G91">
        <f>87710/1493</f>
        <v>58.747488278633625</v>
      </c>
      <c r="H91" t="s">
        <v>984</v>
      </c>
      <c r="L91" t="s">
        <v>205</v>
      </c>
    </row>
    <row r="92" spans="1:12" ht="12.75">
      <c r="A92" t="s">
        <v>1159</v>
      </c>
      <c r="C92" t="s">
        <v>1160</v>
      </c>
      <c r="E92" t="s">
        <v>1162</v>
      </c>
      <c r="L92" t="s">
        <v>1097</v>
      </c>
    </row>
    <row r="93" spans="1:12" ht="12.75">
      <c r="A93" s="9"/>
      <c r="E93" s="10"/>
      <c r="G93" s="10"/>
      <c r="L93" t="s">
        <v>1098</v>
      </c>
    </row>
    <row r="94" spans="1:12" ht="12.75">
      <c r="A94" s="9">
        <v>0.1</v>
      </c>
      <c r="C94">
        <v>7000</v>
      </c>
      <c r="E94" s="10">
        <f aca="true" t="shared" si="20" ref="E94:E103">C94/365</f>
        <v>19.17808219178082</v>
      </c>
      <c r="G94" s="10" t="s">
        <v>3</v>
      </c>
      <c r="L94" t="s">
        <v>1110</v>
      </c>
    </row>
    <row r="95" spans="1:12" ht="12.75">
      <c r="A95" s="9">
        <v>0.2</v>
      </c>
      <c r="C95">
        <v>3300</v>
      </c>
      <c r="E95" s="10">
        <f t="shared" si="20"/>
        <v>9.04109589041096</v>
      </c>
      <c r="G95" s="10" t="s">
        <v>2</v>
      </c>
      <c r="L95" t="s">
        <v>1136</v>
      </c>
    </row>
    <row r="96" spans="1:12" ht="12.75">
      <c r="A96" s="9">
        <v>0.3</v>
      </c>
      <c r="C96">
        <v>2050</v>
      </c>
      <c r="E96" s="10">
        <f t="shared" si="20"/>
        <v>5.616438356164384</v>
      </c>
      <c r="G96" s="10"/>
      <c r="L96" t="s">
        <v>1099</v>
      </c>
    </row>
    <row r="97" spans="1:12" ht="12.75">
      <c r="A97" s="9">
        <v>0.4</v>
      </c>
      <c r="C97">
        <v>1475</v>
      </c>
      <c r="E97" s="10">
        <f t="shared" si="20"/>
        <v>4.041095890410959</v>
      </c>
      <c r="G97" s="10"/>
      <c r="L97" t="s">
        <v>1138</v>
      </c>
    </row>
    <row r="98" spans="1:12" ht="12.75">
      <c r="A98" s="9">
        <v>0.5</v>
      </c>
      <c r="C98">
        <v>1150</v>
      </c>
      <c r="E98" s="10">
        <f t="shared" si="20"/>
        <v>3.1506849315068495</v>
      </c>
      <c r="G98" s="10" t="s">
        <v>43</v>
      </c>
      <c r="L98" t="s">
        <v>312</v>
      </c>
    </row>
    <row r="99" spans="1:12" ht="12.75">
      <c r="A99" s="9">
        <v>0.6</v>
      </c>
      <c r="C99">
        <v>950</v>
      </c>
      <c r="E99" s="10">
        <f t="shared" si="20"/>
        <v>2.6027397260273974</v>
      </c>
      <c r="G99" s="10" t="s">
        <v>1168</v>
      </c>
      <c r="L99" t="s">
        <v>1100</v>
      </c>
    </row>
    <row r="100" spans="1:12" ht="12.75">
      <c r="A100" s="9">
        <v>0.7</v>
      </c>
      <c r="C100">
        <v>780</v>
      </c>
      <c r="E100" s="10">
        <f t="shared" si="20"/>
        <v>2.136986301369863</v>
      </c>
      <c r="G100" s="10" t="s">
        <v>1186</v>
      </c>
      <c r="L100" t="s">
        <v>1139</v>
      </c>
    </row>
    <row r="101" spans="1:12" ht="12.75">
      <c r="A101" s="9">
        <v>0.8</v>
      </c>
      <c r="C101">
        <v>675</v>
      </c>
      <c r="E101" s="10">
        <f t="shared" si="20"/>
        <v>1.8493150684931507</v>
      </c>
      <c r="G101" s="10" t="s">
        <v>9</v>
      </c>
      <c r="L101" t="s">
        <v>1140</v>
      </c>
    </row>
    <row r="102" spans="1:12" ht="12.75">
      <c r="A102" s="9">
        <v>0.9</v>
      </c>
      <c r="C102">
        <v>550</v>
      </c>
      <c r="E102" s="10">
        <f t="shared" si="20"/>
        <v>1.5068493150684932</v>
      </c>
      <c r="G102" s="10" t="s">
        <v>1187</v>
      </c>
      <c r="L102" t="s">
        <v>1141</v>
      </c>
    </row>
    <row r="103" spans="1:12" ht="12.75">
      <c r="A103" s="9">
        <v>1</v>
      </c>
      <c r="C103">
        <v>500</v>
      </c>
      <c r="E103" s="10">
        <f t="shared" si="20"/>
        <v>1.36986301369863</v>
      </c>
      <c r="G103" s="10" t="s">
        <v>1188</v>
      </c>
      <c r="L103" t="s">
        <v>206</v>
      </c>
    </row>
    <row r="104" ht="12.75">
      <c r="L104" t="s">
        <v>207</v>
      </c>
    </row>
    <row r="105" spans="1:12" ht="12.75">
      <c r="A105" t="s">
        <v>46</v>
      </c>
      <c r="L105" t="s">
        <v>1101</v>
      </c>
    </row>
    <row r="106" spans="1:12" ht="12.75">
      <c r="A106" t="s">
        <v>47</v>
      </c>
      <c r="L106" t="s">
        <v>1111</v>
      </c>
    </row>
    <row r="107" spans="1:12" ht="12.75">
      <c r="A107" t="s">
        <v>305</v>
      </c>
      <c r="L107" t="s">
        <v>1112</v>
      </c>
    </row>
    <row r="108" spans="1:12" ht="12.75">
      <c r="A108" t="s">
        <v>306</v>
      </c>
      <c r="L108" t="s">
        <v>1117</v>
      </c>
    </row>
    <row r="109" spans="1:12" ht="12.75">
      <c r="A109" t="s">
        <v>307</v>
      </c>
      <c r="L109" t="s">
        <v>1116</v>
      </c>
    </row>
    <row r="110" spans="1:12" ht="12.75">
      <c r="A110" t="s">
        <v>905</v>
      </c>
      <c r="L110" t="s">
        <v>14</v>
      </c>
    </row>
    <row r="111" spans="4:13" ht="12.75">
      <c r="D111" s="1"/>
      <c r="E111" s="1"/>
      <c r="F111" s="1"/>
      <c r="G111" s="1"/>
      <c r="H111" s="1"/>
      <c r="I111" s="1"/>
      <c r="J111" s="1"/>
      <c r="K111" s="1"/>
      <c r="L111" t="s">
        <v>15</v>
      </c>
      <c r="M111" s="1"/>
    </row>
    <row r="112" spans="1:13" ht="12.75">
      <c r="A112" t="s">
        <v>903</v>
      </c>
      <c r="D112" s="2"/>
      <c r="E112" s="2"/>
      <c r="F112" s="4"/>
      <c r="G112" s="2"/>
      <c r="H112" s="2"/>
      <c r="I112" s="2"/>
      <c r="J112" s="2"/>
      <c r="K112" s="2"/>
      <c r="L112" s="2"/>
      <c r="M112" t="s">
        <v>1135</v>
      </c>
    </row>
    <row r="113" spans="1:13" ht="12.75">
      <c r="A113" t="s">
        <v>44</v>
      </c>
      <c r="D113" s="2"/>
      <c r="E113" s="2"/>
      <c r="F113" s="4"/>
      <c r="G113" s="2"/>
      <c r="H113" s="2"/>
      <c r="I113" s="2"/>
      <c r="J113" s="2"/>
      <c r="K113" s="2"/>
      <c r="L113" s="2"/>
      <c r="M113" t="s">
        <v>1124</v>
      </c>
    </row>
    <row r="114" spans="1:13" ht="12.75">
      <c r="A114" t="s">
        <v>308</v>
      </c>
      <c r="D114" s="2"/>
      <c r="E114" s="2"/>
      <c r="F114" s="4"/>
      <c r="G114" s="2"/>
      <c r="H114" s="2"/>
      <c r="I114" s="2"/>
      <c r="J114" s="2"/>
      <c r="K114" s="2"/>
      <c r="L114" s="2"/>
      <c r="M114" t="s">
        <v>30</v>
      </c>
    </row>
    <row r="115" spans="4:13" ht="12.75">
      <c r="D115" s="2"/>
      <c r="E115" s="2"/>
      <c r="F115" s="4"/>
      <c r="G115" s="2"/>
      <c r="H115" s="2"/>
      <c r="I115" s="2"/>
      <c r="J115" s="2"/>
      <c r="K115" s="2"/>
      <c r="L115" s="2"/>
      <c r="M115" t="s">
        <v>31</v>
      </c>
    </row>
    <row r="116" spans="1:13" ht="12.75">
      <c r="A116" t="s">
        <v>471</v>
      </c>
      <c r="D116" s="2"/>
      <c r="E116" s="2"/>
      <c r="F116" s="4"/>
      <c r="G116" s="2"/>
      <c r="H116" s="2"/>
      <c r="I116" s="2"/>
      <c r="J116" s="2"/>
      <c r="K116" s="2"/>
      <c r="L116" s="2"/>
      <c r="M116" t="s">
        <v>1125</v>
      </c>
    </row>
    <row r="117" spans="1:13" ht="12.75">
      <c r="A117" t="s">
        <v>470</v>
      </c>
      <c r="D117" s="2"/>
      <c r="E117" s="2"/>
      <c r="F117" s="4"/>
      <c r="G117" s="2"/>
      <c r="H117" s="2"/>
      <c r="I117" s="2"/>
      <c r="J117" s="2"/>
      <c r="K117" s="2"/>
      <c r="L117" s="2"/>
      <c r="M117" t="s">
        <v>1127</v>
      </c>
    </row>
    <row r="118" spans="1:13" ht="12.75">
      <c r="A118" t="s">
        <v>483</v>
      </c>
      <c r="D118" s="2"/>
      <c r="E118" s="2"/>
      <c r="F118" s="4"/>
      <c r="G118" s="2"/>
      <c r="H118" s="2"/>
      <c r="I118" s="2"/>
      <c r="J118" s="2"/>
      <c r="K118" s="2"/>
      <c r="L118" s="2"/>
      <c r="M118" t="s">
        <v>1128</v>
      </c>
    </row>
    <row r="119" spans="1:13" ht="12.75">
      <c r="A119" t="s">
        <v>484</v>
      </c>
      <c r="D119" s="2"/>
      <c r="E119" s="2"/>
      <c r="F119" s="4"/>
      <c r="G119" s="2"/>
      <c r="H119" s="2"/>
      <c r="I119" s="2"/>
      <c r="J119" s="2"/>
      <c r="K119" s="2"/>
      <c r="L119" s="2"/>
      <c r="M119" t="s">
        <v>32</v>
      </c>
    </row>
    <row r="120" spans="1:13" ht="12.75">
      <c r="A120" t="s">
        <v>486</v>
      </c>
      <c r="D120" s="2"/>
      <c r="E120" s="2"/>
      <c r="F120" s="4"/>
      <c r="G120" s="2"/>
      <c r="H120" s="2"/>
      <c r="I120" s="2"/>
      <c r="J120" s="2"/>
      <c r="K120" s="2"/>
      <c r="L120" s="2"/>
      <c r="M120" t="s">
        <v>1126</v>
      </c>
    </row>
    <row r="121" spans="1:13" ht="12.75">
      <c r="A121" t="s">
        <v>485</v>
      </c>
      <c r="D121" s="2"/>
      <c r="E121" s="2"/>
      <c r="F121" s="4"/>
      <c r="G121" s="2"/>
      <c r="H121" s="2"/>
      <c r="I121" s="2"/>
      <c r="J121" s="2"/>
      <c r="K121" s="2"/>
      <c r="L121" s="2"/>
      <c r="M121" t="s">
        <v>41</v>
      </c>
    </row>
    <row r="122" spans="3:13" ht="12.75">
      <c r="C122" s="2"/>
      <c r="D122" s="2"/>
      <c r="E122" s="2"/>
      <c r="F122" s="4"/>
      <c r="G122" s="2"/>
      <c r="H122" s="2"/>
      <c r="I122" s="2"/>
      <c r="J122" s="2"/>
      <c r="K122" s="2"/>
      <c r="L122" s="2"/>
      <c r="M122" t="s">
        <v>1129</v>
      </c>
    </row>
    <row r="123" spans="1:13" ht="12.75">
      <c r="A123" s="8" t="s">
        <v>49</v>
      </c>
      <c r="C123" s="2"/>
      <c r="D123" s="2"/>
      <c r="E123" s="2"/>
      <c r="F123" s="4"/>
      <c r="G123" s="2"/>
      <c r="H123" s="2"/>
      <c r="I123" s="2"/>
      <c r="J123" s="2"/>
      <c r="K123" s="2"/>
      <c r="L123" s="2"/>
      <c r="M123" t="s">
        <v>631</v>
      </c>
    </row>
    <row r="124" ht="12.75">
      <c r="M124" t="s">
        <v>1131</v>
      </c>
    </row>
    <row r="125" spans="1:13" ht="12.75">
      <c r="A125" s="3">
        <v>210</v>
      </c>
      <c r="B125" t="s">
        <v>57</v>
      </c>
      <c r="M125" t="s">
        <v>1132</v>
      </c>
    </row>
    <row r="126" spans="1:13" ht="12.75">
      <c r="A126" s="3">
        <v>80</v>
      </c>
      <c r="B126" t="s">
        <v>906</v>
      </c>
      <c r="M126" t="s">
        <v>1133</v>
      </c>
    </row>
    <row r="127" spans="1:13" ht="12.75">
      <c r="A127" s="3">
        <v>738</v>
      </c>
      <c r="B127" t="s">
        <v>850</v>
      </c>
      <c r="M127" t="s">
        <v>1134</v>
      </c>
    </row>
    <row r="128" spans="1:13" ht="12.75">
      <c r="A128" s="3">
        <v>175</v>
      </c>
      <c r="B128" t="s">
        <v>851</v>
      </c>
      <c r="M128" t="s">
        <v>208</v>
      </c>
    </row>
    <row r="129" spans="1:13" ht="12.75">
      <c r="A129" s="3">
        <v>330</v>
      </c>
      <c r="B129" t="s">
        <v>487</v>
      </c>
      <c r="M129" t="s">
        <v>210</v>
      </c>
    </row>
    <row r="130" spans="1:13" ht="12.75">
      <c r="A130" s="3">
        <v>410</v>
      </c>
      <c r="B130" t="s">
        <v>920</v>
      </c>
      <c r="M130" t="s">
        <v>209</v>
      </c>
    </row>
    <row r="131" spans="1:13" ht="12.75">
      <c r="A131" s="3">
        <v>35</v>
      </c>
      <c r="B131" t="s">
        <v>872</v>
      </c>
      <c r="M131" t="s">
        <v>309</v>
      </c>
    </row>
    <row r="132" spans="2:13" ht="12.75">
      <c r="B132" t="s">
        <v>873</v>
      </c>
      <c r="M132" t="s">
        <v>310</v>
      </c>
    </row>
    <row r="133" spans="1:13" ht="12.75">
      <c r="A133" s="3">
        <v>80</v>
      </c>
      <c r="B133" t="s">
        <v>922</v>
      </c>
      <c r="M133" t="s">
        <v>311</v>
      </c>
    </row>
    <row r="134" spans="1:2" ht="12.75">
      <c r="A134" s="3">
        <f>SUM(A125:A133)</f>
        <v>2058</v>
      </c>
      <c r="B134" t="s">
        <v>874</v>
      </c>
    </row>
    <row r="135" ht="12.75">
      <c r="A135" s="3"/>
    </row>
    <row r="136" spans="2:12" ht="12.75">
      <c r="B136" t="s">
        <v>24</v>
      </c>
      <c r="L136" s="3"/>
    </row>
    <row r="137" spans="2:13" ht="12.75">
      <c r="B137" t="s">
        <v>48</v>
      </c>
      <c r="L137" s="3"/>
      <c r="M137" t="s">
        <v>321</v>
      </c>
    </row>
    <row r="138" spans="2:13" ht="12.75">
      <c r="B138" t="s">
        <v>25</v>
      </c>
      <c r="M138" t="s">
        <v>322</v>
      </c>
    </row>
    <row r="139" spans="2:13" ht="12.75">
      <c r="B139" t="s">
        <v>28</v>
      </c>
      <c r="M139" t="s">
        <v>323</v>
      </c>
    </row>
    <row r="140" spans="2:13" ht="12.75">
      <c r="B140" t="s">
        <v>50</v>
      </c>
      <c r="M140" t="s">
        <v>332</v>
      </c>
    </row>
    <row r="141" spans="2:13" ht="12.75">
      <c r="B141" t="s">
        <v>29</v>
      </c>
      <c r="M141" t="s">
        <v>320</v>
      </c>
    </row>
    <row r="142" ht="12.75">
      <c r="B142" t="s">
        <v>51</v>
      </c>
    </row>
    <row r="143" spans="2:13" ht="12.75">
      <c r="B143" t="s">
        <v>488</v>
      </c>
      <c r="M143" t="s">
        <v>264</v>
      </c>
    </row>
    <row r="144" ht="12.75">
      <c r="M144" s="21" t="s">
        <v>263</v>
      </c>
    </row>
    <row r="145" spans="2:13" ht="12.75">
      <c r="B145" t="s">
        <v>52</v>
      </c>
      <c r="M145" t="s">
        <v>313</v>
      </c>
    </row>
    <row r="146" spans="2:13" ht="12.75">
      <c r="B146" t="s">
        <v>53</v>
      </c>
      <c r="M146" t="s">
        <v>265</v>
      </c>
    </row>
    <row r="147" spans="2:13" ht="12.75">
      <c r="B147" t="s">
        <v>55</v>
      </c>
      <c r="G147" s="2"/>
      <c r="H147" s="2"/>
      <c r="I147" s="2"/>
      <c r="J147" s="2"/>
      <c r="K147" s="2"/>
      <c r="L147" s="2"/>
      <c r="M147" t="s">
        <v>267</v>
      </c>
    </row>
    <row r="148" spans="2:12" ht="12.75">
      <c r="B148" t="s">
        <v>56</v>
      </c>
      <c r="G148" s="2"/>
      <c r="H148" s="2"/>
      <c r="I148" s="2"/>
      <c r="J148" s="2"/>
      <c r="K148" s="2"/>
      <c r="L148" s="2"/>
    </row>
    <row r="149" ht="12.75">
      <c r="M149" t="s">
        <v>338</v>
      </c>
    </row>
    <row r="150" spans="2:13" ht="12.75">
      <c r="B150" t="s">
        <v>62</v>
      </c>
      <c r="M150" t="s">
        <v>336</v>
      </c>
    </row>
    <row r="151" spans="2:13" ht="12.75">
      <c r="B151" t="s">
        <v>65</v>
      </c>
      <c r="M151" t="s">
        <v>337</v>
      </c>
    </row>
    <row r="152" spans="2:13" ht="12.75">
      <c r="B152" t="s">
        <v>117</v>
      </c>
      <c r="M152" t="s">
        <v>339</v>
      </c>
    </row>
    <row r="153" spans="2:13" ht="12.75">
      <c r="B153" t="s">
        <v>163</v>
      </c>
      <c r="M153" t="s">
        <v>340</v>
      </c>
    </row>
    <row r="154" spans="2:13" ht="12.75">
      <c r="B154" t="s">
        <v>165</v>
      </c>
      <c r="M154" t="s">
        <v>342</v>
      </c>
    </row>
    <row r="155" ht="12.75">
      <c r="M155" t="s">
        <v>344</v>
      </c>
    </row>
    <row r="156" spans="2:13" ht="12.75">
      <c r="B156" t="s">
        <v>125</v>
      </c>
      <c r="M156" t="s">
        <v>345</v>
      </c>
    </row>
    <row r="157" spans="2:13" ht="12.75">
      <c r="B157" t="s">
        <v>126</v>
      </c>
      <c r="M157" t="s">
        <v>346</v>
      </c>
    </row>
    <row r="159" spans="2:16" ht="12.75">
      <c r="B159" t="s">
        <v>127</v>
      </c>
      <c r="I159" s="17"/>
      <c r="P159" s="20" t="s">
        <v>366</v>
      </c>
    </row>
    <row r="160" spans="2:19" ht="12.75">
      <c r="B160" t="s">
        <v>629</v>
      </c>
      <c r="O160" t="s">
        <v>925</v>
      </c>
      <c r="P160" s="20"/>
      <c r="Q160" t="s">
        <v>924</v>
      </c>
      <c r="R160" t="s">
        <v>886</v>
      </c>
      <c r="S160" t="s">
        <v>928</v>
      </c>
    </row>
    <row r="161" spans="2:19" ht="12.75">
      <c r="B161" t="s">
        <v>630</v>
      </c>
      <c r="P161" t="s">
        <v>254</v>
      </c>
      <c r="Q161">
        <v>3.34</v>
      </c>
      <c r="R161">
        <v>4.09</v>
      </c>
      <c r="S161">
        <v>4.74</v>
      </c>
    </row>
    <row r="162" ht="12.75">
      <c r="B162" t="s">
        <v>489</v>
      </c>
    </row>
    <row r="163" spans="2:19" ht="12.75">
      <c r="B163" t="s">
        <v>211</v>
      </c>
      <c r="P163" t="s">
        <v>255</v>
      </c>
      <c r="Q163">
        <v>5.09</v>
      </c>
      <c r="R163">
        <v>5.16</v>
      </c>
      <c r="S163">
        <v>6.74</v>
      </c>
    </row>
    <row r="164" ht="12.75">
      <c r="B164" t="s">
        <v>128</v>
      </c>
    </row>
    <row r="165" spans="2:16" ht="12.75">
      <c r="B165" t="s">
        <v>212</v>
      </c>
      <c r="P165" t="s">
        <v>368</v>
      </c>
    </row>
    <row r="166" ht="12.75">
      <c r="B166" t="s">
        <v>129</v>
      </c>
    </row>
    <row r="167" spans="2:16" ht="12.75">
      <c r="B167" t="s">
        <v>216</v>
      </c>
      <c r="P167" t="s">
        <v>893</v>
      </c>
    </row>
    <row r="168" spans="2:16" ht="12.75">
      <c r="B168" t="s">
        <v>139</v>
      </c>
      <c r="P168" t="s">
        <v>262</v>
      </c>
    </row>
    <row r="169" spans="2:16" ht="12.75">
      <c r="B169" t="s">
        <v>140</v>
      </c>
      <c r="P169" t="s">
        <v>367</v>
      </c>
    </row>
    <row r="170" ht="12.75">
      <c r="B170" t="s">
        <v>217</v>
      </c>
    </row>
    <row r="171" spans="2:16" ht="12.75">
      <c r="B171" t="s">
        <v>143</v>
      </c>
      <c r="P171" t="s">
        <v>245</v>
      </c>
    </row>
    <row r="172" spans="2:16" ht="12.75">
      <c r="B172" t="s">
        <v>144</v>
      </c>
      <c r="P172" t="s">
        <v>246</v>
      </c>
    </row>
    <row r="173" ht="12.75">
      <c r="P173" t="s">
        <v>290</v>
      </c>
    </row>
    <row r="174" spans="2:16" ht="12.75">
      <c r="B174" t="s">
        <v>287</v>
      </c>
      <c r="P174" t="s">
        <v>291</v>
      </c>
    </row>
    <row r="175" ht="12.75">
      <c r="B175" t="s">
        <v>167</v>
      </c>
    </row>
    <row r="176" spans="2:13" ht="12.75">
      <c r="B176" t="s">
        <v>166</v>
      </c>
      <c r="L176" t="s">
        <v>925</v>
      </c>
      <c r="M176" t="s">
        <v>927</v>
      </c>
    </row>
    <row r="177" spans="2:13" ht="12.75">
      <c r="B177" t="s">
        <v>288</v>
      </c>
      <c r="M177" t="s">
        <v>263</v>
      </c>
    </row>
    <row r="178" ht="12.75">
      <c r="B178" t="s">
        <v>314</v>
      </c>
    </row>
    <row r="179" ht="12.75">
      <c r="B179" t="s">
        <v>315</v>
      </c>
    </row>
    <row r="181" spans="2:15" ht="12.75">
      <c r="B181" t="s">
        <v>182</v>
      </c>
      <c r="G181" t="s">
        <v>204</v>
      </c>
      <c r="O181" t="s">
        <v>235</v>
      </c>
    </row>
    <row r="182" spans="2:15" ht="12.75">
      <c r="B182" t="s">
        <v>184</v>
      </c>
      <c r="C182" t="s">
        <v>183</v>
      </c>
      <c r="D182" t="s">
        <v>185</v>
      </c>
      <c r="E182" t="s">
        <v>189</v>
      </c>
      <c r="G182" t="s">
        <v>203</v>
      </c>
      <c r="K182" t="s">
        <v>219</v>
      </c>
      <c r="O182" t="s">
        <v>236</v>
      </c>
    </row>
    <row r="183" spans="1:13" ht="12.75">
      <c r="A183" t="s">
        <v>186</v>
      </c>
      <c r="B183">
        <v>17.5</v>
      </c>
      <c r="C183">
        <v>5.5</v>
      </c>
      <c r="D183">
        <v>2</v>
      </c>
      <c r="E183">
        <f>B183*D183</f>
        <v>35</v>
      </c>
      <c r="F183" t="s">
        <v>923</v>
      </c>
      <c r="G183" s="10">
        <f>(B183*D183)/13*C183*0.9</f>
        <v>13.326923076923078</v>
      </c>
      <c r="K183" t="s">
        <v>199</v>
      </c>
      <c r="L183" t="s">
        <v>200</v>
      </c>
      <c r="M183" t="s">
        <v>201</v>
      </c>
    </row>
    <row r="184" spans="1:15" ht="12.75">
      <c r="A184" t="s">
        <v>187</v>
      </c>
      <c r="B184">
        <v>18</v>
      </c>
      <c r="C184">
        <v>5.5</v>
      </c>
      <c r="D184">
        <v>1</v>
      </c>
      <c r="E184">
        <f>B184*D184</f>
        <v>18</v>
      </c>
      <c r="G184" s="10">
        <f>(B184*D184)/13*C184*0.9</f>
        <v>6.8538461538461535</v>
      </c>
      <c r="K184">
        <v>17.5</v>
      </c>
      <c r="L184">
        <v>5.5</v>
      </c>
      <c r="M184">
        <f aca="true" t="shared" si="21" ref="M184:M191">K184*L184</f>
        <v>96.25</v>
      </c>
      <c r="O184" t="s">
        <v>218</v>
      </c>
    </row>
    <row r="185" spans="1:15" ht="12.75">
      <c r="A185" t="s">
        <v>188</v>
      </c>
      <c r="B185">
        <v>18</v>
      </c>
      <c r="C185">
        <v>5.5</v>
      </c>
      <c r="D185">
        <v>1</v>
      </c>
      <c r="E185">
        <f>B185*D185</f>
        <v>18</v>
      </c>
      <c r="G185" s="10">
        <f>(B185*D185)/13*C185*0.9</f>
        <v>6.8538461538461535</v>
      </c>
      <c r="K185">
        <v>18</v>
      </c>
      <c r="L185">
        <v>5.5</v>
      </c>
      <c r="M185">
        <f t="shared" si="21"/>
        <v>99</v>
      </c>
      <c r="O185" t="s">
        <v>218</v>
      </c>
    </row>
    <row r="186" spans="7:15" ht="12.75">
      <c r="G186" s="10"/>
      <c r="K186">
        <v>17.5</v>
      </c>
      <c r="L186">
        <v>11</v>
      </c>
      <c r="M186">
        <f t="shared" si="21"/>
        <v>192.5</v>
      </c>
      <c r="O186" t="s">
        <v>220</v>
      </c>
    </row>
    <row r="187" spans="11:15" ht="12.75">
      <c r="K187">
        <v>18</v>
      </c>
      <c r="L187">
        <v>11</v>
      </c>
      <c r="M187">
        <f t="shared" si="21"/>
        <v>198</v>
      </c>
      <c r="O187" t="s">
        <v>220</v>
      </c>
    </row>
    <row r="188" spans="11:15" ht="12.75">
      <c r="K188">
        <v>35</v>
      </c>
      <c r="L188">
        <v>5.5</v>
      </c>
      <c r="M188">
        <f t="shared" si="21"/>
        <v>192.5</v>
      </c>
      <c r="O188" t="s">
        <v>221</v>
      </c>
    </row>
    <row r="189" spans="11:15" ht="12.75">
      <c r="K189">
        <v>35</v>
      </c>
      <c r="L189">
        <v>11</v>
      </c>
      <c r="M189">
        <f t="shared" si="21"/>
        <v>385</v>
      </c>
      <c r="O189" t="s">
        <v>237</v>
      </c>
    </row>
    <row r="190" spans="1:15" ht="12.75">
      <c r="A190" t="s">
        <v>316</v>
      </c>
      <c r="E190">
        <f>SUM(E183:E187)</f>
        <v>71</v>
      </c>
      <c r="G190" s="10">
        <f>E190/13*C183*0.9</f>
        <v>27.034615384615385</v>
      </c>
      <c r="H190" s="10"/>
      <c r="K190">
        <v>53</v>
      </c>
      <c r="L190">
        <v>5.5</v>
      </c>
      <c r="M190">
        <f t="shared" si="21"/>
        <v>291.5</v>
      </c>
      <c r="O190" t="s">
        <v>225</v>
      </c>
    </row>
    <row r="191" spans="11:15" ht="12.75">
      <c r="K191">
        <v>71</v>
      </c>
      <c r="L191">
        <v>5.5</v>
      </c>
      <c r="M191">
        <f t="shared" si="21"/>
        <v>390.5</v>
      </c>
      <c r="O191" t="s">
        <v>238</v>
      </c>
    </row>
    <row r="192" ht="12.75">
      <c r="P192" t="s">
        <v>239</v>
      </c>
    </row>
    <row r="193" spans="11:16" ht="12.75">
      <c r="K193" t="s">
        <v>202</v>
      </c>
      <c r="P193" t="s">
        <v>240</v>
      </c>
    </row>
    <row r="194" spans="1:16" ht="12.75">
      <c r="A194" t="s">
        <v>885</v>
      </c>
      <c r="K194">
        <v>32</v>
      </c>
      <c r="L194">
        <v>5</v>
      </c>
      <c r="M194">
        <f>K194*L194</f>
        <v>160</v>
      </c>
      <c r="P194" t="s">
        <v>241</v>
      </c>
    </row>
    <row r="195" spans="11:13" ht="12.75">
      <c r="K195">
        <v>48</v>
      </c>
      <c r="L195">
        <v>5</v>
      </c>
      <c r="M195">
        <f>K195*L195</f>
        <v>240</v>
      </c>
    </row>
    <row r="196" spans="11:13" ht="12.75">
      <c r="K196">
        <v>60</v>
      </c>
      <c r="L196">
        <v>5</v>
      </c>
      <c r="M196">
        <f>K196*L196</f>
        <v>300</v>
      </c>
    </row>
    <row r="197" spans="11:13" ht="12.75">
      <c r="K197">
        <v>72</v>
      </c>
      <c r="L197">
        <v>5</v>
      </c>
      <c r="M197">
        <f>K197*L197</f>
        <v>360</v>
      </c>
    </row>
    <row r="198" spans="3:14" ht="12.75">
      <c r="C198" s="8" t="s">
        <v>490</v>
      </c>
      <c r="H198" s="2"/>
      <c r="I198" s="2"/>
      <c r="J198" s="2"/>
      <c r="K198" s="2"/>
      <c r="L198" s="2"/>
      <c r="M198" s="2"/>
      <c r="N198" s="10"/>
    </row>
    <row r="199" spans="1:13" ht="12.75">
      <c r="A199" s="15"/>
      <c r="C199" t="s">
        <v>414</v>
      </c>
      <c r="E199" t="s">
        <v>420</v>
      </c>
      <c r="G199" s="2" t="s">
        <v>628</v>
      </c>
      <c r="H199" s="2"/>
      <c r="I199" s="2"/>
      <c r="J199" s="2"/>
      <c r="K199" s="2"/>
      <c r="L199" s="2"/>
      <c r="M199" s="2"/>
    </row>
    <row r="200" spans="3:16" ht="12.75">
      <c r="C200" t="s">
        <v>373</v>
      </c>
      <c r="E200">
        <v>400</v>
      </c>
      <c r="F200" t="s">
        <v>201</v>
      </c>
      <c r="G200" s="2">
        <f>G$34/$O$200</f>
        <v>1.2232204842249657</v>
      </c>
      <c r="H200" s="2">
        <f>H$34/$O$200</f>
        <v>1.8348307263374486</v>
      </c>
      <c r="I200" s="2">
        <f>I$34/$O$200</f>
        <v>2.4586731732921807</v>
      </c>
      <c r="J200" s="2">
        <f>J$34/$O$200</f>
        <v>3.669661452674897</v>
      </c>
      <c r="K200" s="2">
        <f>J200*2</f>
        <v>7.339322905349794</v>
      </c>
      <c r="L200" s="2">
        <f>J200*3</f>
        <v>11.00898435802469</v>
      </c>
      <c r="M200" s="2">
        <f>J200*4</f>
        <v>14.678645810699589</v>
      </c>
      <c r="N200" t="s">
        <v>1142</v>
      </c>
      <c r="O200">
        <f>E200/13*0.9</f>
        <v>27.692307692307693</v>
      </c>
      <c r="P200" t="s">
        <v>370</v>
      </c>
    </row>
    <row r="201" spans="3:16" ht="12.75">
      <c r="C201" t="s">
        <v>399</v>
      </c>
      <c r="E201">
        <v>400</v>
      </c>
      <c r="F201" t="s">
        <v>201</v>
      </c>
      <c r="G201" s="2">
        <f>G$34/$O$200</f>
        <v>1.2232204842249657</v>
      </c>
      <c r="H201" s="2">
        <f>H$34/$O201</f>
        <v>1.8348307263374486</v>
      </c>
      <c r="I201" s="2">
        <f>I$34/$O201</f>
        <v>2.4586731732921807</v>
      </c>
      <c r="J201" s="2">
        <f>J$34/$O201</f>
        <v>3.669661452674897</v>
      </c>
      <c r="K201" s="2">
        <f>J201*2</f>
        <v>7.339322905349794</v>
      </c>
      <c r="L201" s="2">
        <f>J201*3</f>
        <v>11.00898435802469</v>
      </c>
      <c r="M201" s="2">
        <f>J201*4</f>
        <v>14.678645810699589</v>
      </c>
      <c r="N201" t="s">
        <v>1142</v>
      </c>
      <c r="O201">
        <f>E201/13*0.9</f>
        <v>27.692307692307693</v>
      </c>
      <c r="P201" t="s">
        <v>370</v>
      </c>
    </row>
    <row r="202" spans="3:19" ht="12.75">
      <c r="C202" t="s">
        <v>373</v>
      </c>
      <c r="E202">
        <v>800</v>
      </c>
      <c r="F202" t="s">
        <v>201</v>
      </c>
      <c r="G202" s="2">
        <f aca="true" t="shared" si="22" ref="G202:J203">G$34/$O$202</f>
        <v>0.6116102421124828</v>
      </c>
      <c r="H202" s="2">
        <f t="shared" si="22"/>
        <v>0.9174153631687243</v>
      </c>
      <c r="I202" s="2">
        <f t="shared" si="22"/>
        <v>1.2293365866460904</v>
      </c>
      <c r="J202" s="2">
        <f t="shared" si="22"/>
        <v>1.8348307263374486</v>
      </c>
      <c r="K202" s="2">
        <f>J202*2</f>
        <v>3.669661452674897</v>
      </c>
      <c r="L202" s="2">
        <f>J202*3</f>
        <v>5.504492179012345</v>
      </c>
      <c r="M202" s="2">
        <f>J202*4</f>
        <v>7.339322905349794</v>
      </c>
      <c r="N202" t="s">
        <v>1142</v>
      </c>
      <c r="O202">
        <f>E202/13*0.9</f>
        <v>55.38461538461539</v>
      </c>
      <c r="S202" s="20" t="s">
        <v>366</v>
      </c>
    </row>
    <row r="203" spans="3:20" ht="12.75">
      <c r="C203" t="s">
        <v>399</v>
      </c>
      <c r="E203">
        <v>800</v>
      </c>
      <c r="F203" t="s">
        <v>201</v>
      </c>
      <c r="G203" s="2">
        <f t="shared" si="22"/>
        <v>0.6116102421124828</v>
      </c>
      <c r="H203" s="2">
        <f t="shared" si="22"/>
        <v>0.9174153631687243</v>
      </c>
      <c r="I203" s="2">
        <f t="shared" si="22"/>
        <v>1.2293365866460904</v>
      </c>
      <c r="J203" s="2">
        <f t="shared" si="22"/>
        <v>1.8348307263374486</v>
      </c>
      <c r="K203" s="2">
        <f>J203*2</f>
        <v>3.669661452674897</v>
      </c>
      <c r="L203" s="2">
        <f>J203*3</f>
        <v>5.504492179012345</v>
      </c>
      <c r="M203" s="2">
        <f>J203*4</f>
        <v>7.339322905349794</v>
      </c>
      <c r="N203" t="s">
        <v>1142</v>
      </c>
      <c r="O203">
        <f>E203/13*0.9</f>
        <v>55.38461538461539</v>
      </c>
      <c r="Q203" t="s">
        <v>491</v>
      </c>
      <c r="S203" t="s">
        <v>254</v>
      </c>
      <c r="T203" s="10">
        <f>Q161*1.225</f>
        <v>4.0915</v>
      </c>
    </row>
    <row r="204" spans="7:20" ht="12.75">
      <c r="G204" s="2"/>
      <c r="H204" s="2"/>
      <c r="I204" s="2"/>
      <c r="J204" s="2"/>
      <c r="K204" s="2"/>
      <c r="L204" s="2"/>
      <c r="M204" s="2"/>
      <c r="Q204" t="s">
        <v>492</v>
      </c>
      <c r="S204" t="s">
        <v>255</v>
      </c>
      <c r="T204" s="10">
        <f>Q163*1.225</f>
        <v>6.235250000000001</v>
      </c>
    </row>
    <row r="205" spans="3:17" ht="12.75">
      <c r="C205" t="s">
        <v>989</v>
      </c>
      <c r="G205" s="2"/>
      <c r="H205" s="2"/>
      <c r="I205" s="2"/>
      <c r="J205" s="2"/>
      <c r="K205" s="2"/>
      <c r="L205" s="2"/>
      <c r="M205" s="2"/>
      <c r="Q205" t="s">
        <v>493</v>
      </c>
    </row>
    <row r="206" spans="7:13" ht="12.75">
      <c r="G206" s="2"/>
      <c r="H206" s="2"/>
      <c r="I206" s="2"/>
      <c r="J206" s="2"/>
      <c r="K206" s="2"/>
      <c r="L206" s="2"/>
      <c r="M206" s="2"/>
    </row>
    <row r="207" spans="2:13" ht="12.75">
      <c r="B207" s="8" t="s">
        <v>527</v>
      </c>
      <c r="G207" s="2"/>
      <c r="H207" s="2"/>
      <c r="I207" s="2"/>
      <c r="J207" s="2"/>
      <c r="K207" s="2"/>
      <c r="L207" s="2"/>
      <c r="M207" s="2"/>
    </row>
    <row r="208" spans="2:13" ht="12.75">
      <c r="B208" s="23" t="s">
        <v>515</v>
      </c>
      <c r="G208" s="2"/>
      <c r="H208" s="2"/>
      <c r="I208" s="2"/>
      <c r="J208" s="2"/>
      <c r="K208" s="2"/>
      <c r="L208" s="2"/>
      <c r="M208" s="2"/>
    </row>
    <row r="209" spans="2:13" ht="12.75">
      <c r="B209" t="s">
        <v>516</v>
      </c>
      <c r="G209" s="2"/>
      <c r="H209" s="2"/>
      <c r="I209" s="2"/>
      <c r="J209" s="2"/>
      <c r="K209" s="2"/>
      <c r="L209" s="2"/>
      <c r="M209" s="2"/>
    </row>
    <row r="210" spans="2:13" ht="12.75">
      <c r="B210" t="s">
        <v>494</v>
      </c>
      <c r="G210" s="2"/>
      <c r="H210" s="2"/>
      <c r="I210" s="2"/>
      <c r="J210" s="2"/>
      <c r="K210" s="2"/>
      <c r="L210" s="2"/>
      <c r="M210" s="2"/>
    </row>
    <row r="211" spans="2:13" ht="12.75">
      <c r="B211" t="s">
        <v>497</v>
      </c>
      <c r="G211" s="2"/>
      <c r="H211" s="2"/>
      <c r="I211" s="2"/>
      <c r="J211" s="2"/>
      <c r="K211" s="2"/>
      <c r="L211" s="2"/>
      <c r="M211" s="2"/>
    </row>
    <row r="212" spans="2:13" ht="12.75">
      <c r="B212" t="s">
        <v>498</v>
      </c>
      <c r="G212" s="2"/>
      <c r="H212" s="2"/>
      <c r="I212" s="2"/>
      <c r="J212" s="2"/>
      <c r="K212" s="2"/>
      <c r="L212" s="2"/>
      <c r="M212" s="2"/>
    </row>
    <row r="213" spans="7:13" ht="12.75">
      <c r="G213" s="2"/>
      <c r="H213" s="2"/>
      <c r="I213" s="2"/>
      <c r="J213" s="2"/>
      <c r="K213" s="2"/>
      <c r="L213" s="2"/>
      <c r="M213" s="2"/>
    </row>
    <row r="214" spans="2:15" ht="12.75">
      <c r="B214" t="s">
        <v>499</v>
      </c>
      <c r="G214" s="2"/>
      <c r="H214" s="2"/>
      <c r="I214" s="2"/>
      <c r="J214" s="2"/>
      <c r="K214" s="2"/>
      <c r="L214" s="2"/>
      <c r="M214" s="2"/>
      <c r="O214" s="4"/>
    </row>
    <row r="215" ht="12.75">
      <c r="B215" t="s">
        <v>501</v>
      </c>
    </row>
    <row r="217" ht="12.75">
      <c r="B217" s="23" t="s">
        <v>518</v>
      </c>
    </row>
    <row r="218" ht="12.75">
      <c r="B218" s="23" t="s">
        <v>520</v>
      </c>
    </row>
    <row r="219" ht="12.75">
      <c r="B219" s="23" t="s">
        <v>517</v>
      </c>
    </row>
    <row r="220" ht="12.75">
      <c r="B220" s="23"/>
    </row>
    <row r="221" ht="12.75">
      <c r="B221" s="23" t="s">
        <v>521</v>
      </c>
    </row>
    <row r="222" ht="12.75">
      <c r="B222" t="s">
        <v>526</v>
      </c>
    </row>
    <row r="223" ht="12.75">
      <c r="B223" t="s">
        <v>522</v>
      </c>
    </row>
    <row r="225" spans="2:15" ht="12.75">
      <c r="B225" t="s">
        <v>502</v>
      </c>
      <c r="O225" t="s">
        <v>1022</v>
      </c>
    </row>
    <row r="226" ht="12.75">
      <c r="O226" t="s">
        <v>1023</v>
      </c>
    </row>
    <row r="227" spans="2:15" ht="12.75">
      <c r="B227" t="s">
        <v>528</v>
      </c>
      <c r="O227" t="s">
        <v>1024</v>
      </c>
    </row>
    <row r="228" spans="2:15" ht="12.75">
      <c r="B228" t="s">
        <v>529</v>
      </c>
      <c r="O228" t="s">
        <v>1025</v>
      </c>
    </row>
    <row r="229" ht="12.75">
      <c r="B229" t="s">
        <v>530</v>
      </c>
    </row>
    <row r="230" ht="12.75">
      <c r="B230" t="s">
        <v>533</v>
      </c>
    </row>
    <row r="231" ht="12.75">
      <c r="B231" t="s">
        <v>540</v>
      </c>
    </row>
    <row r="232" ht="12.75">
      <c r="B232" t="s">
        <v>539</v>
      </c>
    </row>
    <row r="233" ht="12.75">
      <c r="B233" t="s">
        <v>641</v>
      </c>
    </row>
    <row r="234" ht="12.75">
      <c r="B234" t="s">
        <v>541</v>
      </c>
    </row>
    <row r="236" ht="12.75">
      <c r="B236" t="s">
        <v>642</v>
      </c>
    </row>
    <row r="237" ht="12.75">
      <c r="B237" t="s">
        <v>643</v>
      </c>
    </row>
    <row r="238" ht="12.75">
      <c r="B238" t="s">
        <v>644</v>
      </c>
    </row>
    <row r="239" ht="12.75">
      <c r="B239" t="s">
        <v>647</v>
      </c>
    </row>
    <row r="240" ht="12.75">
      <c r="B240" t="s">
        <v>648</v>
      </c>
    </row>
    <row r="241" ht="12.75">
      <c r="B241" t="s">
        <v>650</v>
      </c>
    </row>
    <row r="242" ht="12.75">
      <c r="B242" t="s">
        <v>649</v>
      </c>
    </row>
    <row r="244" ht="12.75">
      <c r="A244" t="s">
        <v>951</v>
      </c>
    </row>
    <row r="245" ht="12.75">
      <c r="A245" t="s">
        <v>952</v>
      </c>
    </row>
    <row r="248" ht="12.75">
      <c r="A248" t="s">
        <v>20</v>
      </c>
    </row>
  </sheetData>
  <sheetProtection/>
  <conditionalFormatting sqref="G35:M35">
    <cfRule type="expression" priority="1" dxfId="0" stopIfTrue="1">
      <formula>G31&lt;=$O$16</formula>
    </cfRule>
    <cfRule type="expression" priority="2" dxfId="4" stopIfTrue="1">
      <formula>G31&gt;$O$16</formula>
    </cfRule>
  </conditionalFormatting>
  <conditionalFormatting sqref="G64:M64">
    <cfRule type="expression" priority="3" dxfId="0" stopIfTrue="1">
      <formula>G31&lt;=$O$16</formula>
    </cfRule>
    <cfRule type="expression" priority="4" dxfId="4" stopIfTrue="1">
      <formula>G31&gt;$O$16</formula>
    </cfRule>
  </conditionalFormatting>
  <conditionalFormatting sqref="H198:N198">
    <cfRule type="cellIs" priority="5" dxfId="4" operator="greaterThan" stopIfTrue="1">
      <formula>$Q$161</formula>
    </cfRule>
  </conditionalFormatting>
  <conditionalFormatting sqref="G62:M63">
    <cfRule type="cellIs" priority="6" dxfId="0" operator="lessThan" stopIfTrue="1">
      <formula>24</formula>
    </cfRule>
    <cfRule type="cellIs" priority="7" dxfId="4" operator="greaterThanOrEqual" stopIfTrue="1">
      <formula>24</formula>
    </cfRule>
  </conditionalFormatting>
  <conditionalFormatting sqref="G61:M61">
    <cfRule type="cellIs" priority="8" dxfId="0" operator="lessThanOrEqual" stopIfTrue="1">
      <formula>$Q$163</formula>
    </cfRule>
    <cfRule type="cellIs" priority="9" dxfId="4" operator="greaterThan" stopIfTrue="1">
      <formula>$Q$163</formula>
    </cfRule>
  </conditionalFormatting>
  <conditionalFormatting sqref="G39:M40 G43:M44 G47:M48 G51:M52 G59:M60 G55:M56">
    <cfRule type="cellIs" priority="10" dxfId="0" operator="lessThanOrEqual" stopIfTrue="1">
      <formula>$Q$163</formula>
    </cfRule>
    <cfRule type="cellIs" priority="11" dxfId="12" operator="greaterThan" stopIfTrue="1">
      <formula>$Q$163</formula>
    </cfRule>
  </conditionalFormatting>
  <conditionalFormatting sqref="G41:M42 G45:M46 G49:M50 G53:M54 G57:M58 G37:M38">
    <cfRule type="cellIs" priority="12" dxfId="0" operator="lessThanOrEqual" stopIfTrue="1">
      <formula>$Q$161</formula>
    </cfRule>
    <cfRule type="cellIs" priority="13" dxfId="10" operator="greaterThan" stopIfTrue="1">
      <formula>$Q$161</formula>
    </cfRule>
  </conditionalFormatting>
  <conditionalFormatting sqref="G200:M200 G202:M202">
    <cfRule type="cellIs" priority="14" dxfId="5" operator="lessThanOrEqual" stopIfTrue="1">
      <formula>$T$203</formula>
    </cfRule>
    <cfRule type="cellIs" priority="15" dxfId="10" operator="greaterThan" stopIfTrue="1">
      <formula>$T$203</formula>
    </cfRule>
  </conditionalFormatting>
  <conditionalFormatting sqref="G201:M201 G203:M203">
    <cfRule type="cellIs" priority="16" dxfId="5" operator="lessThanOrEqual" stopIfTrue="1">
      <formula>$T$204</formula>
    </cfRule>
    <cfRule type="cellIs" priority="17" dxfId="10" operator="greaterThan" stopIfTrue="1">
      <formula>$T$204</formula>
    </cfRule>
  </conditionalFormatting>
  <conditionalFormatting sqref="G31:M31">
    <cfRule type="cellIs" priority="18" dxfId="4" operator="greaterThan" stopIfTrue="1">
      <formula>$O$16</formula>
    </cfRule>
    <cfRule type="cellIs" priority="19" dxfId="5" operator="lessThanOrEqual" stopIfTrue="1">
      <formula>$O$16</formula>
    </cfRule>
  </conditionalFormatting>
  <conditionalFormatting sqref="B30">
    <cfRule type="cellIs" priority="20" dxfId="4" operator="greaterThan" stopIfTrue="1">
      <formula>$O$18</formula>
    </cfRule>
  </conditionalFormatting>
  <conditionalFormatting sqref="G32:M32">
    <cfRule type="cellIs" priority="21" dxfId="4" operator="greaterThan" stopIfTrue="1">
      <formula>$F$32</formula>
    </cfRule>
  </conditionalFormatting>
  <conditionalFormatting sqref="G33:M33">
    <cfRule type="cellIs" priority="22" dxfId="3" operator="greaterThanOrEqual" stopIfTrue="1">
      <formula>80</formula>
    </cfRule>
  </conditionalFormatting>
  <hyperlinks>
    <hyperlink ref="M144" r:id="rId1" display="http://www.solarelectricityhandbook.com/solar-irradiance.aspx"/>
  </hyperlinks>
  <printOptions/>
  <pageMargins left="0.75" right="0.75" top="1" bottom="1" header="0.5" footer="0.5"/>
  <pageSetup orientation="portrait" r:id="rId2"/>
</worksheet>
</file>

<file path=xl/worksheets/sheet7.xml><?xml version="1.0" encoding="utf-8"?>
<worksheet xmlns="http://schemas.openxmlformats.org/spreadsheetml/2006/main" xmlns:r="http://schemas.openxmlformats.org/officeDocument/2006/relationships">
  <dimension ref="A1:R72"/>
  <sheetViews>
    <sheetView zoomScalePageLayoutView="0" workbookViewId="0" topLeftCell="A1">
      <selection activeCell="B20" sqref="B20"/>
    </sheetView>
  </sheetViews>
  <sheetFormatPr defaultColWidth="9.140625" defaultRowHeight="12.75"/>
  <cols>
    <col min="1" max="1" width="24.8515625" style="0" customWidth="1"/>
    <col min="13" max="13" width="5.421875" style="0" customWidth="1"/>
    <col min="14" max="14" width="6.28125" style="0" customWidth="1"/>
    <col min="15" max="15" width="6.7109375" style="0" customWidth="1"/>
    <col min="16" max="16" width="2.140625" style="0" customWidth="1"/>
  </cols>
  <sheetData>
    <row r="1" spans="1:12" ht="48">
      <c r="A1" s="18" t="s">
        <v>708</v>
      </c>
      <c r="B1" s="18" t="s">
        <v>369</v>
      </c>
      <c r="C1" s="18" t="s">
        <v>1083</v>
      </c>
      <c r="D1" s="18" t="s">
        <v>1081</v>
      </c>
      <c r="E1" s="18" t="s">
        <v>425</v>
      </c>
      <c r="F1" s="18" t="s">
        <v>171</v>
      </c>
      <c r="G1" s="18" t="s">
        <v>172</v>
      </c>
      <c r="H1" s="18" t="s">
        <v>173</v>
      </c>
      <c r="I1" s="18" t="s">
        <v>174</v>
      </c>
      <c r="J1" s="18" t="s">
        <v>175</v>
      </c>
      <c r="K1" s="18" t="s">
        <v>176</v>
      </c>
      <c r="L1" s="18" t="s">
        <v>268</v>
      </c>
    </row>
    <row r="2" spans="1:14" ht="12.75">
      <c r="A2" s="29" t="s">
        <v>657</v>
      </c>
      <c r="B2" s="2">
        <v>0.2</v>
      </c>
      <c r="C2" s="10">
        <v>24</v>
      </c>
      <c r="D2" s="10">
        <f>B2*C2</f>
        <v>4.800000000000001</v>
      </c>
      <c r="E2" s="10">
        <f>IF(D2=0,0,D2*12)</f>
        <v>57.60000000000001</v>
      </c>
      <c r="F2" s="2">
        <f aca="true" t="shared" si="0" ref="F2:F14">I2*0.33</f>
        <v>3.1680000000000006</v>
      </c>
      <c r="G2" s="2">
        <f aca="true" t="shared" si="1" ref="G2:G14">I2*0.5</f>
        <v>4.800000000000001</v>
      </c>
      <c r="H2" s="2">
        <f aca="true" t="shared" si="2" ref="H2:H14">I2*0.67</f>
        <v>6.432000000000001</v>
      </c>
      <c r="I2" s="2">
        <f aca="true" t="shared" si="3" ref="I2:I14">D2*2</f>
        <v>9.600000000000001</v>
      </c>
      <c r="J2" s="2">
        <f aca="true" t="shared" si="4" ref="J2:J17">I2*2</f>
        <v>19.200000000000003</v>
      </c>
      <c r="K2" s="2">
        <f aca="true" t="shared" si="5" ref="K2:K14">I2*3</f>
        <v>28.800000000000004</v>
      </c>
      <c r="L2" s="2">
        <f aca="true" t="shared" si="6" ref="L2:L14">I2*4</f>
        <v>38.400000000000006</v>
      </c>
      <c r="N2" s="8" t="s">
        <v>295</v>
      </c>
    </row>
    <row r="3" spans="1:14" ht="12.75">
      <c r="A3" s="29" t="s">
        <v>788</v>
      </c>
      <c r="B3" s="2">
        <v>2</v>
      </c>
      <c r="C3" s="10">
        <v>4</v>
      </c>
      <c r="D3" s="10">
        <f aca="true" t="shared" si="7" ref="D3:D14">B3*C3</f>
        <v>8</v>
      </c>
      <c r="E3" s="10">
        <f aca="true" t="shared" si="8" ref="E3:E17">IF(D3=0,0,D3*12)</f>
        <v>96</v>
      </c>
      <c r="F3" s="2">
        <f t="shared" si="0"/>
        <v>5.28</v>
      </c>
      <c r="G3" s="2">
        <f t="shared" si="1"/>
        <v>8</v>
      </c>
      <c r="H3" s="2">
        <f t="shared" si="2"/>
        <v>10.72</v>
      </c>
      <c r="I3" s="2">
        <f t="shared" si="3"/>
        <v>16</v>
      </c>
      <c r="J3" s="2">
        <f t="shared" si="4"/>
        <v>32</v>
      </c>
      <c r="K3" s="2">
        <f t="shared" si="5"/>
        <v>48</v>
      </c>
      <c r="L3" s="2">
        <f t="shared" si="6"/>
        <v>64</v>
      </c>
      <c r="N3" s="8" t="s">
        <v>297</v>
      </c>
    </row>
    <row r="4" spans="1:14" ht="12.75">
      <c r="A4" s="29" t="s">
        <v>789</v>
      </c>
      <c r="B4" s="2">
        <v>3</v>
      </c>
      <c r="C4" s="10">
        <v>3</v>
      </c>
      <c r="D4" s="10">
        <f t="shared" si="7"/>
        <v>9</v>
      </c>
      <c r="E4" s="10">
        <f t="shared" si="8"/>
        <v>108</v>
      </c>
      <c r="F4" s="2">
        <f t="shared" si="0"/>
        <v>5.94</v>
      </c>
      <c r="G4" s="2">
        <f t="shared" si="1"/>
        <v>9</v>
      </c>
      <c r="H4" s="2">
        <f t="shared" si="2"/>
        <v>12.06</v>
      </c>
      <c r="I4" s="2">
        <f t="shared" si="3"/>
        <v>18</v>
      </c>
      <c r="J4" s="2">
        <f t="shared" si="4"/>
        <v>36</v>
      </c>
      <c r="K4" s="2">
        <f t="shared" si="5"/>
        <v>54</v>
      </c>
      <c r="L4" s="2">
        <f t="shared" si="6"/>
        <v>72</v>
      </c>
      <c r="N4" s="8" t="s">
        <v>118</v>
      </c>
    </row>
    <row r="5" spans="1:14" ht="12.75">
      <c r="A5" s="30" t="s">
        <v>658</v>
      </c>
      <c r="B5" s="2">
        <v>2</v>
      </c>
      <c r="C5" s="10">
        <v>8</v>
      </c>
      <c r="D5" s="10">
        <f t="shared" si="7"/>
        <v>16</v>
      </c>
      <c r="E5" s="10">
        <f t="shared" si="8"/>
        <v>192</v>
      </c>
      <c r="F5" s="2">
        <f t="shared" si="0"/>
        <v>10.56</v>
      </c>
      <c r="G5" s="2">
        <f t="shared" si="1"/>
        <v>16</v>
      </c>
      <c r="H5" s="2">
        <f t="shared" si="2"/>
        <v>21.44</v>
      </c>
      <c r="I5" s="2">
        <f t="shared" si="3"/>
        <v>32</v>
      </c>
      <c r="J5" s="2">
        <f t="shared" si="4"/>
        <v>64</v>
      </c>
      <c r="K5" s="2">
        <f t="shared" si="5"/>
        <v>96</v>
      </c>
      <c r="L5" s="2">
        <f t="shared" si="6"/>
        <v>128</v>
      </c>
      <c r="N5" s="8" t="s">
        <v>119</v>
      </c>
    </row>
    <row r="6" spans="1:14" ht="12.75">
      <c r="A6" s="30" t="s">
        <v>659</v>
      </c>
      <c r="B6" s="2">
        <v>1</v>
      </c>
      <c r="C6" s="10">
        <v>4</v>
      </c>
      <c r="D6" s="10">
        <f t="shared" si="7"/>
        <v>4</v>
      </c>
      <c r="E6" s="10">
        <f t="shared" si="8"/>
        <v>48</v>
      </c>
      <c r="F6" s="2">
        <f t="shared" si="0"/>
        <v>2.64</v>
      </c>
      <c r="G6" s="2">
        <f t="shared" si="1"/>
        <v>4</v>
      </c>
      <c r="H6" s="2">
        <f t="shared" si="2"/>
        <v>5.36</v>
      </c>
      <c r="I6" s="2">
        <f t="shared" si="3"/>
        <v>8</v>
      </c>
      <c r="J6" s="2">
        <f t="shared" si="4"/>
        <v>16</v>
      </c>
      <c r="K6" s="2">
        <f t="shared" si="5"/>
        <v>24</v>
      </c>
      <c r="L6" s="2">
        <f t="shared" si="6"/>
        <v>32</v>
      </c>
      <c r="N6" s="8"/>
    </row>
    <row r="7" spans="1:15" ht="12.75">
      <c r="A7" t="s">
        <v>1156</v>
      </c>
      <c r="B7" s="2"/>
      <c r="C7" s="10">
        <v>24</v>
      </c>
      <c r="D7" s="10">
        <f t="shared" si="7"/>
        <v>0</v>
      </c>
      <c r="E7" s="10">
        <f t="shared" si="8"/>
        <v>0</v>
      </c>
      <c r="F7" s="2">
        <f t="shared" si="0"/>
        <v>0</v>
      </c>
      <c r="G7" s="2">
        <f t="shared" si="1"/>
        <v>0</v>
      </c>
      <c r="H7" s="2">
        <f t="shared" si="2"/>
        <v>0</v>
      </c>
      <c r="I7" s="2">
        <f t="shared" si="3"/>
        <v>0</v>
      </c>
      <c r="J7" s="2">
        <f t="shared" si="4"/>
        <v>0</v>
      </c>
      <c r="K7" s="2">
        <f t="shared" si="5"/>
        <v>0</v>
      </c>
      <c r="L7" s="2">
        <f t="shared" si="6"/>
        <v>0</v>
      </c>
      <c r="N7" s="13">
        <v>208</v>
      </c>
      <c r="O7" s="12" t="s">
        <v>1145</v>
      </c>
    </row>
    <row r="8" spans="1:12" ht="12.75">
      <c r="A8" t="s">
        <v>1156</v>
      </c>
      <c r="B8" s="2"/>
      <c r="C8" s="10">
        <v>24</v>
      </c>
      <c r="D8" s="10">
        <f t="shared" si="7"/>
        <v>0</v>
      </c>
      <c r="E8" s="10">
        <f t="shared" si="8"/>
        <v>0</v>
      </c>
      <c r="F8" s="2">
        <f t="shared" si="0"/>
        <v>0</v>
      </c>
      <c r="G8" s="2">
        <f t="shared" si="1"/>
        <v>0</v>
      </c>
      <c r="H8" s="2">
        <f t="shared" si="2"/>
        <v>0</v>
      </c>
      <c r="I8" s="2">
        <f t="shared" si="3"/>
        <v>0</v>
      </c>
      <c r="J8" s="2">
        <f t="shared" si="4"/>
        <v>0</v>
      </c>
      <c r="K8" s="2">
        <f t="shared" si="5"/>
        <v>0</v>
      </c>
      <c r="L8" s="2">
        <f t="shared" si="6"/>
        <v>0</v>
      </c>
    </row>
    <row r="9" spans="1:15" ht="12.75">
      <c r="A9" t="s">
        <v>1156</v>
      </c>
      <c r="B9" s="2"/>
      <c r="C9" s="10">
        <v>24</v>
      </c>
      <c r="D9" s="10">
        <f t="shared" si="7"/>
        <v>0</v>
      </c>
      <c r="E9" s="10">
        <f t="shared" si="8"/>
        <v>0</v>
      </c>
      <c r="F9" s="2">
        <f t="shared" si="0"/>
        <v>0</v>
      </c>
      <c r="G9" s="2">
        <f t="shared" si="1"/>
        <v>0</v>
      </c>
      <c r="H9" s="2">
        <f t="shared" si="2"/>
        <v>0</v>
      </c>
      <c r="I9" s="2">
        <f t="shared" si="3"/>
        <v>0</v>
      </c>
      <c r="J9" s="2">
        <f t="shared" si="4"/>
        <v>0</v>
      </c>
      <c r="K9" s="2">
        <f t="shared" si="5"/>
        <v>0</v>
      </c>
      <c r="L9" s="2">
        <f t="shared" si="6"/>
        <v>0</v>
      </c>
      <c r="N9" s="7">
        <f>IF(I20=0,0,N7/2/I20)</f>
        <v>2.488038277511962</v>
      </c>
      <c r="O9" s="6" t="s">
        <v>1144</v>
      </c>
    </row>
    <row r="10" spans="1:15" ht="12.75">
      <c r="A10" t="s">
        <v>1156</v>
      </c>
      <c r="B10" s="2"/>
      <c r="C10" s="10">
        <v>24</v>
      </c>
      <c r="D10" s="10">
        <f t="shared" si="7"/>
        <v>0</v>
      </c>
      <c r="E10" s="10">
        <f t="shared" si="8"/>
        <v>0</v>
      </c>
      <c r="F10" s="2">
        <f t="shared" si="0"/>
        <v>0</v>
      </c>
      <c r="G10" s="2">
        <f t="shared" si="1"/>
        <v>0</v>
      </c>
      <c r="H10" s="2">
        <f t="shared" si="2"/>
        <v>0</v>
      </c>
      <c r="I10" s="2">
        <f t="shared" si="3"/>
        <v>0</v>
      </c>
      <c r="J10" s="2">
        <f t="shared" si="4"/>
        <v>0</v>
      </c>
      <c r="K10" s="2">
        <f t="shared" si="5"/>
        <v>0</v>
      </c>
      <c r="L10" s="2">
        <f t="shared" si="6"/>
        <v>0</v>
      </c>
      <c r="N10" s="5">
        <f>N9*24</f>
        <v>59.71291866028709</v>
      </c>
      <c r="O10" s="6" t="s">
        <v>1155</v>
      </c>
    </row>
    <row r="11" spans="1:15" ht="12.75">
      <c r="A11" t="s">
        <v>1156</v>
      </c>
      <c r="B11" s="2"/>
      <c r="C11" s="10">
        <v>24</v>
      </c>
      <c r="D11" s="10">
        <f t="shared" si="7"/>
        <v>0</v>
      </c>
      <c r="E11" s="10">
        <f t="shared" si="8"/>
        <v>0</v>
      </c>
      <c r="F11" s="2">
        <f t="shared" si="0"/>
        <v>0</v>
      </c>
      <c r="G11" s="2">
        <f t="shared" si="1"/>
        <v>0</v>
      </c>
      <c r="H11" s="2">
        <f t="shared" si="2"/>
        <v>0</v>
      </c>
      <c r="I11" s="2">
        <f t="shared" si="3"/>
        <v>0</v>
      </c>
      <c r="J11" s="2">
        <f t="shared" si="4"/>
        <v>0</v>
      </c>
      <c r="K11" s="2">
        <f t="shared" si="5"/>
        <v>0</v>
      </c>
      <c r="L11" s="2">
        <f t="shared" si="6"/>
        <v>0</v>
      </c>
      <c r="N11" s="5">
        <f>I49</f>
        <v>0.7395384615384615</v>
      </c>
      <c r="O11" s="6" t="s">
        <v>243</v>
      </c>
    </row>
    <row r="12" spans="1:15" ht="12.75">
      <c r="A12" t="s">
        <v>1156</v>
      </c>
      <c r="B12" s="2"/>
      <c r="C12" s="10">
        <v>24</v>
      </c>
      <c r="D12" s="10">
        <f t="shared" si="7"/>
        <v>0</v>
      </c>
      <c r="E12" s="10">
        <f t="shared" si="8"/>
        <v>0</v>
      </c>
      <c r="F12" s="2">
        <f t="shared" si="0"/>
        <v>0</v>
      </c>
      <c r="G12" s="2">
        <f t="shared" si="1"/>
        <v>0</v>
      </c>
      <c r="H12" s="2">
        <f t="shared" si="2"/>
        <v>0</v>
      </c>
      <c r="I12" s="2">
        <f t="shared" si="3"/>
        <v>0</v>
      </c>
      <c r="J12" s="2">
        <f t="shared" si="4"/>
        <v>0</v>
      </c>
      <c r="K12" s="2">
        <f t="shared" si="5"/>
        <v>0</v>
      </c>
      <c r="L12" s="2">
        <f t="shared" si="6"/>
        <v>0</v>
      </c>
      <c r="O12" s="6" t="s">
        <v>242</v>
      </c>
    </row>
    <row r="13" spans="1:14" ht="12.75">
      <c r="A13" t="s">
        <v>1156</v>
      </c>
      <c r="B13" s="2"/>
      <c r="C13" s="10">
        <v>24</v>
      </c>
      <c r="D13" s="10">
        <f t="shared" si="7"/>
        <v>0</v>
      </c>
      <c r="E13" s="10">
        <f t="shared" si="8"/>
        <v>0</v>
      </c>
      <c r="F13" s="2">
        <f t="shared" si="0"/>
        <v>0</v>
      </c>
      <c r="G13" s="2">
        <f t="shared" si="1"/>
        <v>0</v>
      </c>
      <c r="H13" s="2">
        <f t="shared" si="2"/>
        <v>0</v>
      </c>
      <c r="I13" s="2">
        <f t="shared" si="3"/>
        <v>0</v>
      </c>
      <c r="J13" s="2">
        <f t="shared" si="4"/>
        <v>0</v>
      </c>
      <c r="K13" s="2">
        <f t="shared" si="5"/>
        <v>0</v>
      </c>
      <c r="L13" s="2">
        <f t="shared" si="6"/>
        <v>0</v>
      </c>
      <c r="N13" t="s">
        <v>627</v>
      </c>
    </row>
    <row r="14" spans="1:14" ht="12.75">
      <c r="A14" t="s">
        <v>1156</v>
      </c>
      <c r="B14" s="2"/>
      <c r="C14" s="10">
        <v>24</v>
      </c>
      <c r="D14" s="10">
        <f t="shared" si="7"/>
        <v>0</v>
      </c>
      <c r="E14" s="10">
        <f t="shared" si="8"/>
        <v>0</v>
      </c>
      <c r="F14" s="2">
        <f t="shared" si="0"/>
        <v>0</v>
      </c>
      <c r="G14" s="2">
        <f t="shared" si="1"/>
        <v>0</v>
      </c>
      <c r="H14" s="2">
        <f t="shared" si="2"/>
        <v>0</v>
      </c>
      <c r="I14" s="2">
        <f t="shared" si="3"/>
        <v>0</v>
      </c>
      <c r="J14" s="2">
        <f t="shared" si="4"/>
        <v>0</v>
      </c>
      <c r="K14" s="2">
        <f t="shared" si="5"/>
        <v>0</v>
      </c>
      <c r="L14" s="2">
        <f t="shared" si="6"/>
        <v>0</v>
      </c>
      <c r="N14" t="s">
        <v>1147</v>
      </c>
    </row>
    <row r="15" spans="1:14" ht="12.75">
      <c r="A15" t="s">
        <v>1156</v>
      </c>
      <c r="B15" s="2"/>
      <c r="C15" s="10">
        <v>24</v>
      </c>
      <c r="D15" s="10">
        <f>B15*C15</f>
        <v>0</v>
      </c>
      <c r="E15" s="10">
        <f t="shared" si="8"/>
        <v>0</v>
      </c>
      <c r="F15" s="2">
        <f>I15*0.33</f>
        <v>0</v>
      </c>
      <c r="G15" s="2">
        <f>I15*0.5</f>
        <v>0</v>
      </c>
      <c r="H15" s="2">
        <f>I15*0.67</f>
        <v>0</v>
      </c>
      <c r="I15" s="2">
        <f>D15*2</f>
        <v>0</v>
      </c>
      <c r="J15" s="2">
        <f t="shared" si="4"/>
        <v>0</v>
      </c>
      <c r="K15" s="2">
        <f>I15*3</f>
        <v>0</v>
      </c>
      <c r="L15" s="2">
        <f>I15*4</f>
        <v>0</v>
      </c>
      <c r="N15" t="s">
        <v>421</v>
      </c>
    </row>
    <row r="16" spans="1:14" ht="12.75">
      <c r="A16" t="s">
        <v>1156</v>
      </c>
      <c r="B16" s="2"/>
      <c r="C16" s="10">
        <v>24</v>
      </c>
      <c r="D16" s="10">
        <f>B16*C16</f>
        <v>0</v>
      </c>
      <c r="E16" s="10">
        <f t="shared" si="8"/>
        <v>0</v>
      </c>
      <c r="F16" s="2">
        <f>I16*0.33</f>
        <v>0</v>
      </c>
      <c r="G16" s="2">
        <f>I16*0.5</f>
        <v>0</v>
      </c>
      <c r="H16" s="2">
        <f>I16*0.67</f>
        <v>0</v>
      </c>
      <c r="I16" s="2">
        <f>D16*2</f>
        <v>0</v>
      </c>
      <c r="J16" s="2">
        <f t="shared" si="4"/>
        <v>0</v>
      </c>
      <c r="K16" s="2">
        <f>I16*3</f>
        <v>0</v>
      </c>
      <c r="L16" s="2">
        <f>I16*4</f>
        <v>0</v>
      </c>
      <c r="N16" t="s">
        <v>292</v>
      </c>
    </row>
    <row r="17" spans="1:14" ht="12.75">
      <c r="A17" t="s">
        <v>1156</v>
      </c>
      <c r="B17" s="2"/>
      <c r="C17" s="10">
        <v>24</v>
      </c>
      <c r="D17" s="10">
        <f>B17*C17</f>
        <v>0</v>
      </c>
      <c r="E17" s="10">
        <f t="shared" si="8"/>
        <v>0</v>
      </c>
      <c r="F17" s="2">
        <f>I17*0.33</f>
        <v>0</v>
      </c>
      <c r="G17" s="2">
        <f>I17*0.5</f>
        <v>0</v>
      </c>
      <c r="H17" s="2">
        <f>I17*0.67</f>
        <v>0</v>
      </c>
      <c r="I17" s="2">
        <f>D17*2</f>
        <v>0</v>
      </c>
      <c r="J17" s="2">
        <f t="shared" si="4"/>
        <v>0</v>
      </c>
      <c r="K17" s="2">
        <f>I17*3</f>
        <v>0</v>
      </c>
      <c r="L17" s="2">
        <f>I17*4</f>
        <v>0</v>
      </c>
      <c r="N17" t="s">
        <v>293</v>
      </c>
    </row>
    <row r="18" spans="1:15" ht="12.75">
      <c r="A18" s="8" t="s">
        <v>1080</v>
      </c>
      <c r="B18" s="2">
        <f>SUM(B2:B14)</f>
        <v>8.2</v>
      </c>
      <c r="C18" s="10"/>
      <c r="D18" s="10">
        <f>SUM(D2:D14)</f>
        <v>41.8</v>
      </c>
      <c r="E18" s="2">
        <f>SUM(E2:E14)</f>
        <v>501.6</v>
      </c>
      <c r="F18" s="2" t="s">
        <v>349</v>
      </c>
      <c r="G18" s="2" t="s">
        <v>355</v>
      </c>
      <c r="H18" s="2" t="s">
        <v>356</v>
      </c>
      <c r="I18" s="2" t="s">
        <v>357</v>
      </c>
      <c r="J18" s="2" t="s">
        <v>358</v>
      </c>
      <c r="K18" s="2" t="s">
        <v>359</v>
      </c>
      <c r="L18" s="2" t="s">
        <v>360</v>
      </c>
      <c r="O18" t="s">
        <v>17</v>
      </c>
    </row>
    <row r="19" spans="3:15" ht="12.75">
      <c r="C19" t="s">
        <v>570</v>
      </c>
      <c r="F19" s="2">
        <f>SUM(F2:F14)</f>
        <v>27.588</v>
      </c>
      <c r="G19" s="2">
        <f>SUM(G2:G14)</f>
        <v>41.8</v>
      </c>
      <c r="H19" s="2">
        <f>SUM(H2:H14)</f>
        <v>56.012</v>
      </c>
      <c r="I19" s="2">
        <f>SUM(I2:I14)</f>
        <v>83.6</v>
      </c>
      <c r="J19" s="2">
        <f>I19*2</f>
        <v>167.2</v>
      </c>
      <c r="K19" s="2">
        <f>I19*3</f>
        <v>250.79999999999998</v>
      </c>
      <c r="L19" s="2">
        <f>I19*4</f>
        <v>334.4</v>
      </c>
      <c r="M19" t="s">
        <v>253</v>
      </c>
      <c r="O19" t="s">
        <v>18</v>
      </c>
    </row>
    <row r="20" spans="3:15" ht="12.75">
      <c r="C20" t="s">
        <v>1122</v>
      </c>
      <c r="F20" s="2">
        <f>F19/2</f>
        <v>13.794</v>
      </c>
      <c r="G20" s="2">
        <f>G19/2</f>
        <v>20.9</v>
      </c>
      <c r="H20" s="2">
        <f>H19/2</f>
        <v>28.006</v>
      </c>
      <c r="I20" s="2">
        <f>I19/2</f>
        <v>41.8</v>
      </c>
      <c r="J20" s="2">
        <f>I20*2</f>
        <v>83.6</v>
      </c>
      <c r="K20" s="2">
        <f>I20*3</f>
        <v>125.39999999999999</v>
      </c>
      <c r="L20" s="2">
        <f>I20*4</f>
        <v>167.2</v>
      </c>
      <c r="O20" t="s">
        <v>19</v>
      </c>
    </row>
    <row r="21" spans="3:17" ht="12.75">
      <c r="C21" t="s">
        <v>426</v>
      </c>
      <c r="D21" s="22"/>
      <c r="E21" s="4"/>
      <c r="F21" s="2">
        <f>F20*1.15</f>
        <v>15.8631</v>
      </c>
      <c r="G21" s="2">
        <f aca="true" t="shared" si="9" ref="G21:L21">G20*1.15</f>
        <v>24.034999999999997</v>
      </c>
      <c r="H21" s="2">
        <f t="shared" si="9"/>
        <v>32.2069</v>
      </c>
      <c r="I21" s="2">
        <f t="shared" si="9"/>
        <v>48.06999999999999</v>
      </c>
      <c r="J21" s="2">
        <f t="shared" si="9"/>
        <v>96.13999999999999</v>
      </c>
      <c r="K21" s="2">
        <f t="shared" si="9"/>
        <v>144.20999999999998</v>
      </c>
      <c r="L21" s="2">
        <f t="shared" si="9"/>
        <v>192.27999999999997</v>
      </c>
      <c r="M21" t="s">
        <v>427</v>
      </c>
      <c r="Q21" t="s">
        <v>634</v>
      </c>
    </row>
    <row r="22" spans="1:17" ht="12.75">
      <c r="A22" t="s">
        <v>545</v>
      </c>
      <c r="D22" s="22"/>
      <c r="E22" s="4"/>
      <c r="F22" s="2"/>
      <c r="G22" s="2"/>
      <c r="H22" s="2"/>
      <c r="I22" s="31" t="s">
        <v>667</v>
      </c>
      <c r="J22" s="2"/>
      <c r="K22" s="2"/>
      <c r="L22" s="2"/>
      <c r="Q22" t="s">
        <v>635</v>
      </c>
    </row>
    <row r="23" spans="1:15" ht="12.75">
      <c r="A23" t="s">
        <v>567</v>
      </c>
      <c r="B23" t="s">
        <v>414</v>
      </c>
      <c r="D23" t="s">
        <v>661</v>
      </c>
      <c r="E23" t="s">
        <v>543</v>
      </c>
      <c r="F23" s="2" t="s">
        <v>628</v>
      </c>
      <c r="G23" s="2"/>
      <c r="H23" s="2"/>
      <c r="I23" s="2"/>
      <c r="J23" s="2"/>
      <c r="K23" s="2"/>
      <c r="L23" s="2"/>
      <c r="N23" t="s">
        <v>662</v>
      </c>
      <c r="O23" t="s">
        <v>544</v>
      </c>
    </row>
    <row r="24" spans="1:15" ht="12.75">
      <c r="A24" t="s">
        <v>568</v>
      </c>
      <c r="B24" t="s">
        <v>373</v>
      </c>
      <c r="D24">
        <v>100</v>
      </c>
      <c r="F24" s="2">
        <f>F21/N24</f>
        <v>2.2913366666666666</v>
      </c>
      <c r="G24" s="2">
        <f>G21/N24</f>
        <v>3.4717222222222217</v>
      </c>
      <c r="H24" s="2">
        <f>H21/N24</f>
        <v>4.652107777777777</v>
      </c>
      <c r="I24" s="2">
        <f>I21/N24</f>
        <v>6.943444444444443</v>
      </c>
      <c r="J24" s="2">
        <f aca="true" t="shared" si="10" ref="J24:J49">I24*2</f>
        <v>13.886888888888887</v>
      </c>
      <c r="K24" s="2">
        <f aca="true" t="shared" si="11" ref="K24:K49">I24*3</f>
        <v>20.83033333333333</v>
      </c>
      <c r="L24" s="2">
        <f aca="true" t="shared" si="12" ref="L24:L49">I24*4</f>
        <v>27.773777777777774</v>
      </c>
      <c r="M24" t="s">
        <v>1142</v>
      </c>
      <c r="N24" s="2">
        <f>D24/13*0.9</f>
        <v>6.923076923076923</v>
      </c>
      <c r="O24" s="2"/>
    </row>
    <row r="25" spans="1:15" ht="12.75">
      <c r="A25" t="s">
        <v>546</v>
      </c>
      <c r="E25">
        <f>D24*0.88</f>
        <v>88</v>
      </c>
      <c r="F25" s="2">
        <f>F$21/$O25</f>
        <v>2.6037916666666665</v>
      </c>
      <c r="G25" s="2">
        <f>G$21/$O25</f>
        <v>3.9451388888888888</v>
      </c>
      <c r="H25" s="2">
        <f>H$21/$O25</f>
        <v>5.2864861111111106</v>
      </c>
      <c r="I25" s="2">
        <f>I$21/$O25</f>
        <v>7.8902777777777775</v>
      </c>
      <c r="J25" s="2">
        <f t="shared" si="10"/>
        <v>15.780555555555555</v>
      </c>
      <c r="K25" s="2">
        <f>I25*3</f>
        <v>23.670833333333334</v>
      </c>
      <c r="L25" s="2">
        <f>I25*4</f>
        <v>31.56111111111111</v>
      </c>
      <c r="N25" s="2"/>
      <c r="O25" s="2">
        <f>E25/13*0.9</f>
        <v>6.092307692307692</v>
      </c>
    </row>
    <row r="26" spans="1:15" ht="12.75">
      <c r="A26" t="s">
        <v>550</v>
      </c>
      <c r="B26" t="s">
        <v>399</v>
      </c>
      <c r="D26">
        <v>100</v>
      </c>
      <c r="F26" s="2">
        <f>F$21/N26</f>
        <v>2.2913366666666666</v>
      </c>
      <c r="G26" s="2">
        <f>G21/N26</f>
        <v>3.4717222222222217</v>
      </c>
      <c r="H26" s="2">
        <f>H21/N26</f>
        <v>4.652107777777777</v>
      </c>
      <c r="I26" s="2">
        <f>I21/N26</f>
        <v>6.943444444444443</v>
      </c>
      <c r="J26" s="2">
        <f t="shared" si="10"/>
        <v>13.886888888888887</v>
      </c>
      <c r="K26" s="2">
        <f t="shared" si="11"/>
        <v>20.83033333333333</v>
      </c>
      <c r="L26" s="2">
        <f t="shared" si="12"/>
        <v>27.773777777777774</v>
      </c>
      <c r="M26" t="s">
        <v>1142</v>
      </c>
      <c r="N26" s="2">
        <f>D26/13*0.9</f>
        <v>6.923076923076923</v>
      </c>
      <c r="O26" s="2"/>
    </row>
    <row r="27" spans="1:15" ht="12.75">
      <c r="A27" t="s">
        <v>547</v>
      </c>
      <c r="E27">
        <f>D26*0.88</f>
        <v>88</v>
      </c>
      <c r="F27" s="2">
        <f>F$21/$O27</f>
        <v>2.6037916666666665</v>
      </c>
      <c r="G27" s="2">
        <f aca="true" t="shared" si="13" ref="G27:I47">G$21/$O27</f>
        <v>3.9451388888888888</v>
      </c>
      <c r="H27" s="2">
        <f t="shared" si="13"/>
        <v>5.2864861111111106</v>
      </c>
      <c r="I27" s="2">
        <f t="shared" si="13"/>
        <v>7.8902777777777775</v>
      </c>
      <c r="J27" s="2">
        <f t="shared" si="10"/>
        <v>15.780555555555555</v>
      </c>
      <c r="K27" s="2">
        <f>I27*3</f>
        <v>23.670833333333334</v>
      </c>
      <c r="L27" s="2">
        <f>I27*4</f>
        <v>31.56111111111111</v>
      </c>
      <c r="N27" s="2"/>
      <c r="O27" s="2">
        <f>E27/13*0.9</f>
        <v>6.092307692307692</v>
      </c>
    </row>
    <row r="28" spans="1:17" ht="12.75">
      <c r="A28" t="s">
        <v>548</v>
      </c>
      <c r="B28" t="s">
        <v>373</v>
      </c>
      <c r="D28">
        <v>200</v>
      </c>
      <c r="F28" s="2">
        <f>F21/N28</f>
        <v>1.1456683333333333</v>
      </c>
      <c r="G28" s="2">
        <f>G21/N28</f>
        <v>1.7358611111111109</v>
      </c>
      <c r="H28" s="2">
        <f>H21/N28</f>
        <v>2.3260538888888886</v>
      </c>
      <c r="I28" s="2">
        <f>I21/N28</f>
        <v>3.4717222222222217</v>
      </c>
      <c r="J28" s="2">
        <f t="shared" si="10"/>
        <v>6.943444444444443</v>
      </c>
      <c r="K28" s="2">
        <f t="shared" si="11"/>
        <v>10.415166666666664</v>
      </c>
      <c r="L28" s="2">
        <f t="shared" si="12"/>
        <v>13.886888888888887</v>
      </c>
      <c r="M28" t="s">
        <v>1142</v>
      </c>
      <c r="N28" s="2">
        <f aca="true" t="shared" si="14" ref="N28:N46">D28/13*0.9</f>
        <v>13.846153846153847</v>
      </c>
      <c r="O28" s="2"/>
      <c r="Q28" s="20" t="s">
        <v>366</v>
      </c>
    </row>
    <row r="29" spans="1:17" ht="12.75">
      <c r="A29" t="s">
        <v>549</v>
      </c>
      <c r="E29">
        <f>D28*0.88</f>
        <v>176</v>
      </c>
      <c r="F29" s="2">
        <f>F$21/$O29</f>
        <v>1.3018958333333333</v>
      </c>
      <c r="G29" s="2">
        <f t="shared" si="13"/>
        <v>1.9725694444444444</v>
      </c>
      <c r="H29" s="2">
        <f t="shared" si="13"/>
        <v>2.6432430555555553</v>
      </c>
      <c r="I29" s="2">
        <f t="shared" si="13"/>
        <v>3.9451388888888888</v>
      </c>
      <c r="J29" s="2">
        <f t="shared" si="10"/>
        <v>7.8902777777777775</v>
      </c>
      <c r="K29" s="2">
        <f t="shared" si="11"/>
        <v>11.835416666666667</v>
      </c>
      <c r="L29" s="2">
        <f t="shared" si="12"/>
        <v>15.780555555555555</v>
      </c>
      <c r="N29" s="2"/>
      <c r="O29" s="2">
        <f>E29/13*0.9</f>
        <v>12.184615384615384</v>
      </c>
      <c r="Q29" s="20"/>
    </row>
    <row r="30" spans="1:18" ht="12.75">
      <c r="A30" t="s">
        <v>660</v>
      </c>
      <c r="B30" t="s">
        <v>399</v>
      </c>
      <c r="D30">
        <v>200</v>
      </c>
      <c r="F30" s="2">
        <f>F21/N30</f>
        <v>1.1456683333333333</v>
      </c>
      <c r="G30" s="2">
        <f>G21/N30</f>
        <v>1.7358611111111109</v>
      </c>
      <c r="H30" s="2">
        <f>H21/N30</f>
        <v>2.3260538888888886</v>
      </c>
      <c r="I30" s="2">
        <f>I21/N30</f>
        <v>3.4717222222222217</v>
      </c>
      <c r="J30" s="2">
        <f t="shared" si="10"/>
        <v>6.943444444444443</v>
      </c>
      <c r="K30" s="2">
        <f t="shared" si="11"/>
        <v>10.415166666666664</v>
      </c>
      <c r="L30" s="2">
        <f t="shared" si="12"/>
        <v>13.886888888888887</v>
      </c>
      <c r="M30" t="s">
        <v>1142</v>
      </c>
      <c r="N30" s="2">
        <f t="shared" si="14"/>
        <v>13.846153846153847</v>
      </c>
      <c r="O30" s="2"/>
      <c r="Q30" t="s">
        <v>254</v>
      </c>
      <c r="R30">
        <v>3.17</v>
      </c>
    </row>
    <row r="31" spans="5:15" ht="12.75">
      <c r="E31">
        <f>D30*0.88</f>
        <v>176</v>
      </c>
      <c r="F31" s="2">
        <f>F$21/$O31</f>
        <v>1.3018958333333333</v>
      </c>
      <c r="G31" s="2">
        <f t="shared" si="13"/>
        <v>1.9725694444444444</v>
      </c>
      <c r="H31" s="2">
        <f t="shared" si="13"/>
        <v>2.6432430555555553</v>
      </c>
      <c r="I31" s="2">
        <f t="shared" si="13"/>
        <v>3.9451388888888888</v>
      </c>
      <c r="J31" s="2">
        <f t="shared" si="10"/>
        <v>7.8902777777777775</v>
      </c>
      <c r="K31" s="2">
        <f>I31*3</f>
        <v>11.835416666666667</v>
      </c>
      <c r="L31" s="2">
        <f>I31*4</f>
        <v>15.780555555555555</v>
      </c>
      <c r="N31" s="2"/>
      <c r="O31" s="2">
        <f>E31/13*0.9</f>
        <v>12.184615384615384</v>
      </c>
    </row>
    <row r="32" spans="1:18" ht="12.75">
      <c r="A32" t="s">
        <v>179</v>
      </c>
      <c r="B32" t="s">
        <v>373</v>
      </c>
      <c r="D32">
        <v>300</v>
      </c>
      <c r="F32" s="2">
        <f>F21/N32</f>
        <v>0.7637788888888888</v>
      </c>
      <c r="G32" s="2">
        <f>G21/N32</f>
        <v>1.1572407407407406</v>
      </c>
      <c r="H32" s="2">
        <f>H21/N32</f>
        <v>1.5507025925925924</v>
      </c>
      <c r="I32" s="2">
        <f>I21/N32</f>
        <v>2.314481481481481</v>
      </c>
      <c r="J32" s="2">
        <f t="shared" si="10"/>
        <v>4.628962962962962</v>
      </c>
      <c r="K32" s="2">
        <f t="shared" si="11"/>
        <v>6.943444444444443</v>
      </c>
      <c r="L32" s="2">
        <f t="shared" si="12"/>
        <v>9.257925925925925</v>
      </c>
      <c r="M32" t="s">
        <v>1142</v>
      </c>
      <c r="N32" s="2">
        <f t="shared" si="14"/>
        <v>20.76923076923077</v>
      </c>
      <c r="O32" s="2"/>
      <c r="Q32" t="s">
        <v>255</v>
      </c>
      <c r="R32">
        <v>5.3</v>
      </c>
    </row>
    <row r="33" spans="1:15" ht="12.75">
      <c r="A33" t="s">
        <v>180</v>
      </c>
      <c r="E33">
        <f>D32*0.88</f>
        <v>264</v>
      </c>
      <c r="F33" s="2">
        <f>F$21/$O33</f>
        <v>0.8679305555555555</v>
      </c>
      <c r="G33" s="2">
        <f t="shared" si="13"/>
        <v>1.315046296296296</v>
      </c>
      <c r="H33" s="2">
        <f t="shared" si="13"/>
        <v>1.762162037037037</v>
      </c>
      <c r="I33" s="2">
        <f t="shared" si="13"/>
        <v>2.630092592592592</v>
      </c>
      <c r="J33" s="2">
        <f t="shared" si="10"/>
        <v>5.260185185185184</v>
      </c>
      <c r="K33" s="2">
        <f>I33*3</f>
        <v>7.890277777777777</v>
      </c>
      <c r="L33" s="2">
        <f>I33*4</f>
        <v>10.520370370370369</v>
      </c>
      <c r="N33" s="2"/>
      <c r="O33" s="2">
        <f>E33/13*0.9</f>
        <v>18.276923076923076</v>
      </c>
    </row>
    <row r="34" spans="1:17" ht="12.75">
      <c r="A34" t="s">
        <v>299</v>
      </c>
      <c r="B34" t="s">
        <v>399</v>
      </c>
      <c r="D34">
        <v>300</v>
      </c>
      <c r="F34" s="2">
        <f>F21/N34</f>
        <v>0.7637788888888888</v>
      </c>
      <c r="G34" s="2">
        <f>G21/N34</f>
        <v>1.1572407407407406</v>
      </c>
      <c r="H34" s="2">
        <f>H21/N34</f>
        <v>1.5507025925925924</v>
      </c>
      <c r="I34" s="2">
        <f>I21/N34</f>
        <v>2.314481481481481</v>
      </c>
      <c r="J34" s="2">
        <f t="shared" si="10"/>
        <v>4.628962962962962</v>
      </c>
      <c r="K34" s="2">
        <f t="shared" si="11"/>
        <v>6.943444444444443</v>
      </c>
      <c r="L34" s="2">
        <f t="shared" si="12"/>
        <v>9.257925925925925</v>
      </c>
      <c r="M34" t="s">
        <v>1142</v>
      </c>
      <c r="N34" s="2">
        <f t="shared" si="14"/>
        <v>20.76923076923077</v>
      </c>
      <c r="O34" s="2"/>
      <c r="Q34" t="s">
        <v>368</v>
      </c>
    </row>
    <row r="35" spans="1:15" ht="12.75">
      <c r="A35" t="s">
        <v>178</v>
      </c>
      <c r="E35">
        <f>D34*0.88</f>
        <v>264</v>
      </c>
      <c r="F35" s="2">
        <f>F$21/$O35</f>
        <v>0.8679305555555555</v>
      </c>
      <c r="G35" s="2">
        <f t="shared" si="13"/>
        <v>1.315046296296296</v>
      </c>
      <c r="H35" s="2">
        <f t="shared" si="13"/>
        <v>1.762162037037037</v>
      </c>
      <c r="I35" s="2">
        <f t="shared" si="13"/>
        <v>2.630092592592592</v>
      </c>
      <c r="J35" s="2">
        <f t="shared" si="10"/>
        <v>5.260185185185184</v>
      </c>
      <c r="K35" s="2">
        <f>I35*3</f>
        <v>7.890277777777777</v>
      </c>
      <c r="L35" s="2">
        <f>I35*4</f>
        <v>10.520370370370369</v>
      </c>
      <c r="N35" s="2"/>
      <c r="O35" s="2">
        <f>E35/13*0.9</f>
        <v>18.276923076923076</v>
      </c>
    </row>
    <row r="36" spans="1:17" ht="12.75">
      <c r="A36" t="s">
        <v>181</v>
      </c>
      <c r="B36" t="s">
        <v>373</v>
      </c>
      <c r="D36">
        <v>400</v>
      </c>
      <c r="F36" s="2">
        <f>F21/N36</f>
        <v>0.5728341666666666</v>
      </c>
      <c r="G36" s="2">
        <f>G21/N36</f>
        <v>0.8679305555555554</v>
      </c>
      <c r="H36" s="2">
        <f>H21/N36</f>
        <v>1.1630269444444443</v>
      </c>
      <c r="I36" s="2">
        <f>I21/N36</f>
        <v>1.7358611111111109</v>
      </c>
      <c r="J36" s="2">
        <f t="shared" si="10"/>
        <v>3.4717222222222217</v>
      </c>
      <c r="K36" s="2">
        <f t="shared" si="11"/>
        <v>5.207583333333332</v>
      </c>
      <c r="L36" s="2">
        <f t="shared" si="12"/>
        <v>6.943444444444443</v>
      </c>
      <c r="M36" t="s">
        <v>1142</v>
      </c>
      <c r="N36" s="2">
        <f t="shared" si="14"/>
        <v>27.692307692307693</v>
      </c>
      <c r="O36" s="2"/>
      <c r="Q36" t="s">
        <v>260</v>
      </c>
    </row>
    <row r="37" spans="1:17" ht="12.75">
      <c r="A37" t="s">
        <v>334</v>
      </c>
      <c r="E37">
        <f>D36*0.88</f>
        <v>352</v>
      </c>
      <c r="F37" s="2">
        <f>F$21/$O37</f>
        <v>0.6509479166666666</v>
      </c>
      <c r="G37" s="2">
        <f t="shared" si="13"/>
        <v>0.9862847222222222</v>
      </c>
      <c r="H37" s="2">
        <f t="shared" si="13"/>
        <v>1.3216215277777776</v>
      </c>
      <c r="I37" s="2">
        <f t="shared" si="13"/>
        <v>1.9725694444444444</v>
      </c>
      <c r="J37" s="2">
        <f t="shared" si="10"/>
        <v>3.9451388888888888</v>
      </c>
      <c r="K37" s="2">
        <f>I37*3</f>
        <v>5.917708333333334</v>
      </c>
      <c r="L37" s="2">
        <f>I37*4</f>
        <v>7.8902777777777775</v>
      </c>
      <c r="N37" s="2"/>
      <c r="O37" s="2">
        <f>E37/13*0.9</f>
        <v>24.369230769230768</v>
      </c>
      <c r="Q37" t="s">
        <v>262</v>
      </c>
    </row>
    <row r="38" spans="1:17" ht="12.75">
      <c r="A38" t="s">
        <v>371</v>
      </c>
      <c r="B38" t="s">
        <v>399</v>
      </c>
      <c r="D38">
        <v>400</v>
      </c>
      <c r="F38" s="2">
        <f>F21/N38</f>
        <v>0.5728341666666666</v>
      </c>
      <c r="G38" s="2">
        <f>G21/N38</f>
        <v>0.8679305555555554</v>
      </c>
      <c r="H38" s="2">
        <f>H21/N38</f>
        <v>1.1630269444444443</v>
      </c>
      <c r="I38" s="2">
        <f>I21/N38</f>
        <v>1.7358611111111109</v>
      </c>
      <c r="J38" s="2">
        <f t="shared" si="10"/>
        <v>3.4717222222222217</v>
      </c>
      <c r="K38" s="2">
        <f t="shared" si="11"/>
        <v>5.207583333333332</v>
      </c>
      <c r="L38" s="2">
        <f t="shared" si="12"/>
        <v>6.943444444444443</v>
      </c>
      <c r="M38" t="s">
        <v>1142</v>
      </c>
      <c r="N38" s="2">
        <f t="shared" si="14"/>
        <v>27.692307692307693</v>
      </c>
      <c r="O38" s="2"/>
      <c r="Q38" t="s">
        <v>367</v>
      </c>
    </row>
    <row r="39" spans="5:15" ht="12.75">
      <c r="E39">
        <f>D38*0.88</f>
        <v>352</v>
      </c>
      <c r="F39" s="2">
        <f>F$21/$O39</f>
        <v>0.6509479166666666</v>
      </c>
      <c r="G39" s="2">
        <f t="shared" si="13"/>
        <v>0.9862847222222222</v>
      </c>
      <c r="H39" s="2">
        <f t="shared" si="13"/>
        <v>1.3216215277777776</v>
      </c>
      <c r="I39" s="2">
        <f t="shared" si="13"/>
        <v>1.9725694444444444</v>
      </c>
      <c r="J39" s="2">
        <f t="shared" si="10"/>
        <v>3.9451388888888888</v>
      </c>
      <c r="K39" s="2">
        <f>I39*3</f>
        <v>5.917708333333334</v>
      </c>
      <c r="L39" s="2">
        <f>I39*4</f>
        <v>7.8902777777777775</v>
      </c>
      <c r="N39" s="2"/>
      <c r="O39" s="2">
        <f>E39/13*0.9</f>
        <v>24.369230769230768</v>
      </c>
    </row>
    <row r="40" spans="1:17" ht="12.75">
      <c r="A40" s="24" t="s">
        <v>552</v>
      </c>
      <c r="B40" t="s">
        <v>373</v>
      </c>
      <c r="D40">
        <v>600</v>
      </c>
      <c r="F40" s="2">
        <f>F21/N40</f>
        <v>0.3818894444444444</v>
      </c>
      <c r="G40" s="2">
        <f>G21/N40</f>
        <v>0.5786203703703703</v>
      </c>
      <c r="H40" s="2">
        <f>H21/N40</f>
        <v>0.7753512962962962</v>
      </c>
      <c r="I40" s="2">
        <f>I21/N40</f>
        <v>1.1572407407407406</v>
      </c>
      <c r="J40" s="2">
        <f t="shared" si="10"/>
        <v>2.314481481481481</v>
      </c>
      <c r="K40" s="2">
        <f t="shared" si="11"/>
        <v>3.4717222222222217</v>
      </c>
      <c r="L40" s="2">
        <f t="shared" si="12"/>
        <v>4.628962962962962</v>
      </c>
      <c r="M40" t="s">
        <v>1142</v>
      </c>
      <c r="N40" s="2">
        <f t="shared" si="14"/>
        <v>41.53846153846154</v>
      </c>
      <c r="O40" s="2"/>
      <c r="Q40" t="s">
        <v>245</v>
      </c>
    </row>
    <row r="41" spans="1:17" ht="12.75">
      <c r="A41" t="s">
        <v>553</v>
      </c>
      <c r="E41">
        <f>D40*0.88</f>
        <v>528</v>
      </c>
      <c r="F41" s="2">
        <f>F$21/$O41</f>
        <v>0.43396527777777777</v>
      </c>
      <c r="G41" s="2">
        <f t="shared" si="13"/>
        <v>0.657523148148148</v>
      </c>
      <c r="H41" s="2">
        <f t="shared" si="13"/>
        <v>0.8810810185185185</v>
      </c>
      <c r="I41" s="2">
        <f t="shared" si="13"/>
        <v>1.315046296296296</v>
      </c>
      <c r="J41" s="2">
        <f t="shared" si="10"/>
        <v>2.630092592592592</v>
      </c>
      <c r="K41" s="2">
        <f>I41*3</f>
        <v>3.9451388888888883</v>
      </c>
      <c r="L41" s="2">
        <f>I41*4</f>
        <v>5.260185185185184</v>
      </c>
      <c r="N41" s="2"/>
      <c r="O41" s="2">
        <f>E41/13*0.9</f>
        <v>36.55384615384615</v>
      </c>
      <c r="Q41" t="s">
        <v>246</v>
      </c>
    </row>
    <row r="42" spans="1:17" ht="12.75">
      <c r="A42" t="s">
        <v>554</v>
      </c>
      <c r="B42" t="s">
        <v>399</v>
      </c>
      <c r="D42">
        <v>600</v>
      </c>
      <c r="F42" s="2">
        <f>F21/N42</f>
        <v>0.3818894444444444</v>
      </c>
      <c r="G42" s="2">
        <f>G21/N42</f>
        <v>0.5786203703703703</v>
      </c>
      <c r="H42" s="2">
        <f>H21/N42</f>
        <v>0.7753512962962962</v>
      </c>
      <c r="I42" s="2">
        <f>I21/N42</f>
        <v>1.1572407407407406</v>
      </c>
      <c r="J42" s="2">
        <f t="shared" si="10"/>
        <v>2.314481481481481</v>
      </c>
      <c r="K42" s="2">
        <f t="shared" si="11"/>
        <v>3.4717222222222217</v>
      </c>
      <c r="L42" s="2">
        <f t="shared" si="12"/>
        <v>4.628962962962962</v>
      </c>
      <c r="M42" t="s">
        <v>1142</v>
      </c>
      <c r="N42" s="2">
        <f t="shared" si="14"/>
        <v>41.53846153846154</v>
      </c>
      <c r="O42" s="2"/>
      <c r="Q42" t="s">
        <v>290</v>
      </c>
    </row>
    <row r="43" spans="1:17" ht="12.75">
      <c r="A43" t="s">
        <v>555</v>
      </c>
      <c r="E43">
        <f>D42*0.88</f>
        <v>528</v>
      </c>
      <c r="F43" s="2">
        <f>F$21/$O43</f>
        <v>0.43396527777777777</v>
      </c>
      <c r="G43" s="2">
        <f t="shared" si="13"/>
        <v>0.657523148148148</v>
      </c>
      <c r="H43" s="2">
        <f t="shared" si="13"/>
        <v>0.8810810185185185</v>
      </c>
      <c r="I43" s="2">
        <f t="shared" si="13"/>
        <v>1.315046296296296</v>
      </c>
      <c r="J43" s="2">
        <f t="shared" si="10"/>
        <v>2.630092592592592</v>
      </c>
      <c r="K43" s="2">
        <f>I43*3</f>
        <v>3.9451388888888883</v>
      </c>
      <c r="L43" s="2">
        <f>I43*4</f>
        <v>5.260185185185184</v>
      </c>
      <c r="N43" s="2"/>
      <c r="O43" s="2">
        <f>E43/13*0.9</f>
        <v>36.55384615384615</v>
      </c>
      <c r="Q43" t="s">
        <v>291</v>
      </c>
    </row>
    <row r="44" spans="1:15" ht="12.75">
      <c r="A44" t="s">
        <v>556</v>
      </c>
      <c r="B44" t="s">
        <v>373</v>
      </c>
      <c r="D44">
        <v>800</v>
      </c>
      <c r="F44" s="2">
        <f>F21/N44</f>
        <v>0.2864170833333333</v>
      </c>
      <c r="G44" s="2">
        <f>G21/N44</f>
        <v>0.4339652777777777</v>
      </c>
      <c r="H44" s="2">
        <f>H21/N44</f>
        <v>0.5815134722222222</v>
      </c>
      <c r="I44" s="2">
        <f>I21/N44</f>
        <v>0.8679305555555554</v>
      </c>
      <c r="J44" s="2">
        <f t="shared" si="10"/>
        <v>1.7358611111111109</v>
      </c>
      <c r="K44" s="2">
        <f t="shared" si="11"/>
        <v>2.603791666666666</v>
      </c>
      <c r="L44" s="2">
        <f t="shared" si="12"/>
        <v>3.4717222222222217</v>
      </c>
      <c r="M44" t="s">
        <v>1142</v>
      </c>
      <c r="N44" s="2">
        <f t="shared" si="14"/>
        <v>55.38461538461539</v>
      </c>
      <c r="O44" s="2"/>
    </row>
    <row r="45" spans="1:17" ht="12.75">
      <c r="A45" t="s">
        <v>562</v>
      </c>
      <c r="E45">
        <f>D44*0.88</f>
        <v>704</v>
      </c>
      <c r="F45" s="2">
        <f>F$21/$O45</f>
        <v>0.3254739583333333</v>
      </c>
      <c r="G45" s="2">
        <f t="shared" si="13"/>
        <v>0.4931423611111111</v>
      </c>
      <c r="H45" s="2">
        <f t="shared" si="13"/>
        <v>0.6608107638888888</v>
      </c>
      <c r="I45" s="2">
        <f t="shared" si="13"/>
        <v>0.9862847222222222</v>
      </c>
      <c r="J45" s="2">
        <f t="shared" si="10"/>
        <v>1.9725694444444444</v>
      </c>
      <c r="K45" s="2">
        <f>I45*3</f>
        <v>2.958854166666667</v>
      </c>
      <c r="L45" s="2">
        <f>I45*4</f>
        <v>3.9451388888888888</v>
      </c>
      <c r="N45" s="2"/>
      <c r="O45" s="2">
        <f>E45/13*0.9</f>
        <v>48.738461538461536</v>
      </c>
      <c r="Q45" t="s">
        <v>571</v>
      </c>
    </row>
    <row r="46" spans="1:17" ht="12.75">
      <c r="A46" t="s">
        <v>563</v>
      </c>
      <c r="B46" t="s">
        <v>399</v>
      </c>
      <c r="D46">
        <v>800</v>
      </c>
      <c r="F46" s="2">
        <f>F21/N46</f>
        <v>0.2864170833333333</v>
      </c>
      <c r="G46" s="2">
        <f>G21/N46</f>
        <v>0.4339652777777777</v>
      </c>
      <c r="H46" s="2">
        <f>H21/N46</f>
        <v>0.5815134722222222</v>
      </c>
      <c r="I46" s="2">
        <f>I21/N46</f>
        <v>0.8679305555555554</v>
      </c>
      <c r="J46" s="2">
        <f t="shared" si="10"/>
        <v>1.7358611111111109</v>
      </c>
      <c r="K46" s="2">
        <f t="shared" si="11"/>
        <v>2.603791666666666</v>
      </c>
      <c r="L46" s="2">
        <f t="shared" si="12"/>
        <v>3.4717222222222217</v>
      </c>
      <c r="M46" t="s">
        <v>1142</v>
      </c>
      <c r="N46" s="2">
        <f t="shared" si="14"/>
        <v>55.38461538461539</v>
      </c>
      <c r="O46" s="2"/>
      <c r="Q46" t="s">
        <v>572</v>
      </c>
    </row>
    <row r="47" spans="1:17" ht="12.75">
      <c r="A47" t="s">
        <v>565</v>
      </c>
      <c r="E47">
        <f>D46*0.88</f>
        <v>704</v>
      </c>
      <c r="F47" s="2">
        <f>F$21/$O47</f>
        <v>0.3254739583333333</v>
      </c>
      <c r="G47" s="2">
        <f t="shared" si="13"/>
        <v>0.4931423611111111</v>
      </c>
      <c r="H47" s="2">
        <f t="shared" si="13"/>
        <v>0.6608107638888888</v>
      </c>
      <c r="I47" s="2">
        <f t="shared" si="13"/>
        <v>0.9862847222222222</v>
      </c>
      <c r="J47" s="2">
        <f t="shared" si="10"/>
        <v>1.9725694444444444</v>
      </c>
      <c r="K47" s="2">
        <f>I47*3</f>
        <v>2.958854166666667</v>
      </c>
      <c r="L47" s="2">
        <f>I47*4</f>
        <v>3.9451388888888888</v>
      </c>
      <c r="N47" s="2"/>
      <c r="O47" s="2">
        <f>E47/13*0.9</f>
        <v>48.738461538461536</v>
      </c>
      <c r="Q47" t="s">
        <v>573</v>
      </c>
    </row>
    <row r="48" spans="1:17" ht="12.75">
      <c r="A48" t="s">
        <v>566</v>
      </c>
      <c r="F48" s="26"/>
      <c r="G48" s="26"/>
      <c r="H48" s="26"/>
      <c r="I48" s="26"/>
      <c r="J48" s="26"/>
      <c r="K48" s="26"/>
      <c r="L48" s="26"/>
      <c r="Q48" t="s">
        <v>574</v>
      </c>
    </row>
    <row r="49" spans="1:15" ht="12.75">
      <c r="A49" t="s">
        <v>569</v>
      </c>
      <c r="B49" t="s">
        <v>1143</v>
      </c>
      <c r="F49" s="25">
        <f>F21/N49</f>
        <v>0.2440476923076923</v>
      </c>
      <c r="G49" s="25">
        <f>G21/N49</f>
        <v>0.36976923076923074</v>
      </c>
      <c r="H49" s="25">
        <f>H21/N49</f>
        <v>0.4954907692307692</v>
      </c>
      <c r="I49" s="25">
        <f>I21/N49</f>
        <v>0.7395384615384615</v>
      </c>
      <c r="J49" s="25">
        <f t="shared" si="10"/>
        <v>1.479076923076923</v>
      </c>
      <c r="K49" s="25">
        <f t="shared" si="11"/>
        <v>2.2186153846153847</v>
      </c>
      <c r="L49" s="25">
        <f t="shared" si="12"/>
        <v>2.958153846153846</v>
      </c>
      <c r="M49" t="s">
        <v>1142</v>
      </c>
      <c r="N49" s="4">
        <v>65</v>
      </c>
      <c r="O49" t="s">
        <v>372</v>
      </c>
    </row>
    <row r="50" spans="2:14" ht="12.75">
      <c r="B50" t="s">
        <v>790</v>
      </c>
      <c r="N50" s="2" t="s">
        <v>422</v>
      </c>
    </row>
    <row r="53" ht="12.75">
      <c r="A53" t="s">
        <v>664</v>
      </c>
    </row>
    <row r="54" ht="12.75">
      <c r="A54" t="s">
        <v>666</v>
      </c>
    </row>
    <row r="55" ht="12.75">
      <c r="A55" t="s">
        <v>668</v>
      </c>
    </row>
    <row r="57" ht="12.75">
      <c r="A57" t="s">
        <v>692</v>
      </c>
    </row>
    <row r="58" ht="12.75">
      <c r="A58" t="s">
        <v>706</v>
      </c>
    </row>
    <row r="59" ht="12.75">
      <c r="A59" t="s">
        <v>707</v>
      </c>
    </row>
    <row r="61" ht="12.75">
      <c r="A61" t="s">
        <v>709</v>
      </c>
    </row>
    <row r="62" ht="12.75">
      <c r="A62" t="s">
        <v>776</v>
      </c>
    </row>
    <row r="63" ht="12.75">
      <c r="A63" t="s">
        <v>777</v>
      </c>
    </row>
    <row r="64" ht="12.75">
      <c r="A64" t="s">
        <v>787</v>
      </c>
    </row>
    <row r="65" ht="12.75">
      <c r="A65" t="s">
        <v>710</v>
      </c>
    </row>
    <row r="67" ht="12.75">
      <c r="A67" t="s">
        <v>793</v>
      </c>
    </row>
    <row r="68" ht="12.75">
      <c r="A68" t="s">
        <v>794</v>
      </c>
    </row>
    <row r="72" ht="12.75">
      <c r="A72" t="s">
        <v>20</v>
      </c>
    </row>
  </sheetData>
  <sheetProtection/>
  <conditionalFormatting sqref="F19:L19">
    <cfRule type="cellIs" priority="1" dxfId="4" operator="greaterThan" stopIfTrue="1">
      <formula>$N$7</formula>
    </cfRule>
    <cfRule type="cellIs" priority="2" dxfId="5" operator="lessThanOrEqual" stopIfTrue="1">
      <formula>$N$7</formula>
    </cfRule>
  </conditionalFormatting>
  <conditionalFormatting sqref="F49:L49">
    <cfRule type="cellIs" priority="3" dxfId="0" operator="lessThan" stopIfTrue="1">
      <formula>24</formula>
    </cfRule>
    <cfRule type="cellIs" priority="4" dxfId="4" operator="greaterThanOrEqual" stopIfTrue="1">
      <formula>24</formula>
    </cfRule>
  </conditionalFormatting>
  <conditionalFormatting sqref="F48:L48">
    <cfRule type="cellIs" priority="5" dxfId="0" operator="lessThanOrEqual" stopIfTrue="1">
      <formula>$R$32</formula>
    </cfRule>
    <cfRule type="cellIs" priority="6" dxfId="4" operator="greaterThan" stopIfTrue="1">
      <formula>$R$32</formula>
    </cfRule>
  </conditionalFormatting>
  <conditionalFormatting sqref="F26:L27 F30:L31 F34:L35 F38:L39 F46:L47 F42:L43">
    <cfRule type="cellIs" priority="7" dxfId="0" operator="lessThanOrEqual" stopIfTrue="1">
      <formula>$R$32</formula>
    </cfRule>
    <cfRule type="cellIs" priority="8" dxfId="12" operator="greaterThan" stopIfTrue="1">
      <formula>$R$32</formula>
    </cfRule>
  </conditionalFormatting>
  <conditionalFormatting sqref="F28:L29 F32:L33 F36:L37 F40:L41 F44:L45 F24:L25">
    <cfRule type="cellIs" priority="9" dxfId="0" operator="lessThanOrEqual" stopIfTrue="1">
      <formula>$R$30</formula>
    </cfRule>
    <cfRule type="cellIs" priority="10" dxfId="10" operator="greaterThan" stopIfTrue="1">
      <formula>$R$30</formula>
    </cfRule>
  </conditionalFormatting>
  <conditionalFormatting sqref="J20:L20">
    <cfRule type="cellIs" priority="11" dxfId="27" operator="greaterThanOrEqual" stopIfTrue="1">
      <formula>80</formula>
    </cfRule>
  </conditionalFormatting>
  <printOptions/>
  <pageMargins left="0.75" right="0.75" top="1" bottom="1" header="0.5" footer="0.5"/>
  <pageSetup orientation="portrait" r:id="rId1"/>
  <ignoredErrors>
    <ignoredError sqref="F26:L47" formula="1"/>
  </ignoredErrors>
</worksheet>
</file>

<file path=xl/worksheets/sheet8.xml><?xml version="1.0" encoding="utf-8"?>
<worksheet xmlns="http://schemas.openxmlformats.org/spreadsheetml/2006/main" xmlns:r="http://schemas.openxmlformats.org/officeDocument/2006/relationships">
  <sheetPr>
    <tabColor indexed="13"/>
  </sheetPr>
  <dimension ref="A1:Y88"/>
  <sheetViews>
    <sheetView tabSelected="1" zoomScalePageLayoutView="0" workbookViewId="0" topLeftCell="A1">
      <pane ySplit="3" topLeftCell="A4" activePane="bottomLeft" state="frozen"/>
      <selection pane="topLeft" activeCell="A1" sqref="A1"/>
      <selection pane="bottomLeft" activeCell="B3" sqref="B3"/>
    </sheetView>
  </sheetViews>
  <sheetFormatPr defaultColWidth="9.140625" defaultRowHeight="12.75"/>
  <cols>
    <col min="1" max="1" width="18.28125" style="0" customWidth="1"/>
    <col min="2" max="2" width="5.8515625" style="0" customWidth="1"/>
    <col min="3" max="3" width="6.7109375" style="0" customWidth="1"/>
    <col min="4" max="4" width="7.00390625" style="0" customWidth="1"/>
    <col min="5" max="5" width="5.7109375" style="0" customWidth="1"/>
    <col min="6" max="6" width="7.421875" style="0" customWidth="1"/>
    <col min="7" max="7" width="7.28125" style="0" customWidth="1"/>
    <col min="8" max="8" width="7.421875" style="0" customWidth="1"/>
    <col min="9" max="9" width="9.421875" style="0" customWidth="1"/>
    <col min="10" max="10" width="8.8515625" style="0" customWidth="1"/>
    <col min="11" max="11" width="8.421875" style="0" customWidth="1"/>
    <col min="12" max="12" width="8.57421875" style="0" customWidth="1"/>
    <col min="13" max="13" width="6.140625" style="0" customWidth="1"/>
    <col min="14" max="14" width="6.28125" style="0" customWidth="1"/>
    <col min="15" max="15" width="2.421875" style="0" customWidth="1"/>
    <col min="16" max="16" width="7.8515625" style="0" customWidth="1"/>
    <col min="17" max="17" width="2.28125" style="0" customWidth="1"/>
    <col min="18" max="18" width="9.28125" style="0" customWidth="1"/>
    <col min="19" max="19" width="8.28125" style="0" customWidth="1"/>
    <col min="20" max="20" width="7.8515625" style="0" customWidth="1"/>
    <col min="21" max="21" width="10.140625" style="0" customWidth="1"/>
    <col min="22" max="22" width="9.8515625" style="0" customWidth="1"/>
    <col min="23" max="23" width="10.140625" style="0" bestFit="1" customWidth="1"/>
    <col min="25" max="25" width="7.421875" style="0" customWidth="1"/>
  </cols>
  <sheetData>
    <row r="1" spans="3:13" ht="12.75">
      <c r="C1" s="87" t="s">
        <v>428</v>
      </c>
      <c r="M1" s="87" t="s">
        <v>266</v>
      </c>
    </row>
    <row r="2" spans="1:24" ht="71.25" customHeight="1">
      <c r="A2" s="18" t="s">
        <v>1078</v>
      </c>
      <c r="B2" s="18" t="s">
        <v>1079</v>
      </c>
      <c r="C2" s="115" t="s">
        <v>89</v>
      </c>
      <c r="D2" s="18" t="s">
        <v>40</v>
      </c>
      <c r="E2" s="18" t="s">
        <v>839</v>
      </c>
      <c r="F2" s="18" t="s">
        <v>942</v>
      </c>
      <c r="G2" s="18" t="s">
        <v>160</v>
      </c>
      <c r="H2" s="18" t="s">
        <v>90</v>
      </c>
      <c r="I2" s="18" t="s">
        <v>91</v>
      </c>
      <c r="J2" s="18" t="s">
        <v>92</v>
      </c>
      <c r="K2" s="18" t="s">
        <v>93</v>
      </c>
      <c r="L2" s="18" t="s">
        <v>94</v>
      </c>
      <c r="M2" s="115" t="s">
        <v>150</v>
      </c>
      <c r="N2" s="115" t="s">
        <v>151</v>
      </c>
      <c r="P2" s="114" t="s">
        <v>148</v>
      </c>
      <c r="R2" s="114" t="s">
        <v>149</v>
      </c>
      <c r="S2" s="114" t="s">
        <v>781</v>
      </c>
      <c r="T2" s="114" t="s">
        <v>782</v>
      </c>
      <c r="U2" s="92" t="s">
        <v>934</v>
      </c>
      <c r="V2" s="98" t="s">
        <v>519</v>
      </c>
      <c r="X2" s="75"/>
    </row>
    <row r="3" spans="1:21" ht="12.75">
      <c r="A3" s="18"/>
      <c r="B3" s="18"/>
      <c r="C3" s="18"/>
      <c r="D3" s="18"/>
      <c r="E3" s="18"/>
      <c r="F3" s="18"/>
      <c r="G3" s="18"/>
      <c r="H3" s="93" t="s">
        <v>380</v>
      </c>
      <c r="I3" s="99" t="s">
        <v>132</v>
      </c>
      <c r="J3" s="18"/>
      <c r="K3" s="18"/>
      <c r="L3" s="93" t="s">
        <v>379</v>
      </c>
      <c r="M3" s="105" t="s">
        <v>870</v>
      </c>
      <c r="N3" s="106" t="s">
        <v>871</v>
      </c>
      <c r="P3" s="103"/>
      <c r="R3" s="102"/>
      <c r="U3" s="94">
        <v>45385</v>
      </c>
    </row>
    <row r="4" spans="1:20" ht="12.75">
      <c r="A4" s="29" t="s">
        <v>402</v>
      </c>
      <c r="B4" s="116"/>
      <c r="D4" s="2">
        <f aca="true" t="shared" si="0" ref="D4:D9">B4/($N$17/100)/12</f>
        <v>0</v>
      </c>
      <c r="E4" s="10">
        <v>5</v>
      </c>
      <c r="F4" s="2">
        <f>D4*E4</f>
        <v>0</v>
      </c>
      <c r="G4" s="4">
        <f aca="true" t="shared" si="1" ref="G4:G9">(B4*E4)/0.9</f>
        <v>0</v>
      </c>
      <c r="H4" s="2">
        <f>I4*($H$3/24)</f>
        <v>0</v>
      </c>
      <c r="I4" s="2">
        <f aca="true" t="shared" si="2" ref="I4:I30">F4*$I$60</f>
        <v>0</v>
      </c>
      <c r="J4" s="2">
        <f aca="true" t="shared" si="3" ref="J4:J30">I4*2</f>
        <v>0</v>
      </c>
      <c r="K4" s="2">
        <f aca="true" t="shared" si="4" ref="K4:K27">I4*3</f>
        <v>0</v>
      </c>
      <c r="L4" s="2">
        <f>I4*$L$3</f>
        <v>0</v>
      </c>
      <c r="M4" t="s">
        <v>985</v>
      </c>
      <c r="N4" s="8" t="s">
        <v>609</v>
      </c>
      <c r="T4" s="50" t="s">
        <v>919</v>
      </c>
    </row>
    <row r="5" spans="1:21" ht="12.75">
      <c r="A5" s="27" t="s">
        <v>1177</v>
      </c>
      <c r="B5">
        <v>76</v>
      </c>
      <c r="C5">
        <v>8</v>
      </c>
      <c r="D5" s="2">
        <f t="shared" si="0"/>
        <v>7.450980392156864</v>
      </c>
      <c r="E5" s="10">
        <v>24</v>
      </c>
      <c r="F5" s="2">
        <f aca="true" t="shared" si="5" ref="F5:F27">D5*E5</f>
        <v>178.82352941176472</v>
      </c>
      <c r="G5" s="4">
        <f t="shared" si="1"/>
        <v>2026.6666666666665</v>
      </c>
      <c r="H5" s="2">
        <f aca="true" t="shared" si="6" ref="H5:H30">I5*($H$3/24)</f>
        <v>119.2156862745098</v>
      </c>
      <c r="I5" s="2">
        <f t="shared" si="2"/>
        <v>357.64705882352945</v>
      </c>
      <c r="J5" s="2">
        <f t="shared" si="3"/>
        <v>715.2941176470589</v>
      </c>
      <c r="K5" s="2">
        <f t="shared" si="4"/>
        <v>1072.9411764705883</v>
      </c>
      <c r="L5" s="2">
        <f aca="true" t="shared" si="7" ref="L5:L30">I5*$L$3</f>
        <v>2503.5294117647063</v>
      </c>
      <c r="M5" t="s">
        <v>785</v>
      </c>
      <c r="N5" s="8" t="s">
        <v>687</v>
      </c>
      <c r="U5" t="s">
        <v>87</v>
      </c>
    </row>
    <row r="6" spans="1:21" ht="12.75">
      <c r="A6" t="s">
        <v>778</v>
      </c>
      <c r="C6">
        <v>24</v>
      </c>
      <c r="D6" s="2">
        <f t="shared" si="0"/>
        <v>0</v>
      </c>
      <c r="E6" s="10">
        <v>24</v>
      </c>
      <c r="F6" s="2">
        <f t="shared" si="5"/>
        <v>0</v>
      </c>
      <c r="G6" s="4">
        <f t="shared" si="1"/>
        <v>0</v>
      </c>
      <c r="H6" s="2">
        <f t="shared" si="6"/>
        <v>0</v>
      </c>
      <c r="I6" s="2">
        <f t="shared" si="2"/>
        <v>0</v>
      </c>
      <c r="J6" s="2">
        <f t="shared" si="3"/>
        <v>0</v>
      </c>
      <c r="K6" s="2">
        <f t="shared" si="4"/>
        <v>0</v>
      </c>
      <c r="L6" s="2">
        <f t="shared" si="7"/>
        <v>0</v>
      </c>
      <c r="M6" t="s">
        <v>786</v>
      </c>
      <c r="N6" s="8" t="s">
        <v>118</v>
      </c>
      <c r="P6" s="36"/>
      <c r="U6" t="s">
        <v>1209</v>
      </c>
    </row>
    <row r="7" spans="1:21" ht="12.75">
      <c r="A7" s="28" t="s">
        <v>783</v>
      </c>
      <c r="B7">
        <v>14</v>
      </c>
      <c r="C7">
        <v>1</v>
      </c>
      <c r="D7" s="2">
        <f t="shared" si="0"/>
        <v>1.3725490196078434</v>
      </c>
      <c r="E7" s="10">
        <v>24</v>
      </c>
      <c r="F7" s="2">
        <f t="shared" si="5"/>
        <v>32.94117647058824</v>
      </c>
      <c r="G7" s="4">
        <f t="shared" si="1"/>
        <v>373.3333333333333</v>
      </c>
      <c r="H7" s="2">
        <f t="shared" si="6"/>
        <v>21.96078431372549</v>
      </c>
      <c r="I7" s="2">
        <f t="shared" si="2"/>
        <v>65.88235294117648</v>
      </c>
      <c r="J7" s="2">
        <f t="shared" si="3"/>
        <v>131.76470588235296</v>
      </c>
      <c r="K7" s="2">
        <f t="shared" si="4"/>
        <v>197.64705882352945</v>
      </c>
      <c r="L7" s="2">
        <f t="shared" si="7"/>
        <v>461.17647058823536</v>
      </c>
      <c r="M7" t="s">
        <v>506</v>
      </c>
      <c r="N7" s="8" t="s">
        <v>694</v>
      </c>
      <c r="U7" t="s">
        <v>1210</v>
      </c>
    </row>
    <row r="8" spans="1:21" ht="12.75">
      <c r="A8" t="s">
        <v>1121</v>
      </c>
      <c r="B8">
        <v>16</v>
      </c>
      <c r="C8">
        <v>1</v>
      </c>
      <c r="D8" s="2">
        <f t="shared" si="0"/>
        <v>1.5686274509803921</v>
      </c>
      <c r="E8" s="10">
        <v>24</v>
      </c>
      <c r="F8" s="2">
        <f t="shared" si="5"/>
        <v>37.64705882352941</v>
      </c>
      <c r="G8" s="4">
        <f t="shared" si="1"/>
        <v>426.66666666666663</v>
      </c>
      <c r="H8" s="2">
        <f t="shared" si="6"/>
        <v>25.098039215686274</v>
      </c>
      <c r="I8" s="2">
        <f t="shared" si="2"/>
        <v>75.29411764705883</v>
      </c>
      <c r="J8" s="2">
        <f t="shared" si="3"/>
        <v>150.58823529411765</v>
      </c>
      <c r="K8" s="2">
        <f t="shared" si="4"/>
        <v>225.88235294117646</v>
      </c>
      <c r="L8" s="2">
        <f t="shared" si="7"/>
        <v>527.0588235294118</v>
      </c>
      <c r="M8" t="s">
        <v>507</v>
      </c>
      <c r="N8" s="8" t="s">
        <v>147</v>
      </c>
      <c r="S8" s="113" t="s">
        <v>141</v>
      </c>
      <c r="T8" s="53" t="s">
        <v>887</v>
      </c>
      <c r="U8" t="s">
        <v>504</v>
      </c>
    </row>
    <row r="9" spans="1:21" ht="12.75">
      <c r="A9" t="s">
        <v>1118</v>
      </c>
      <c r="B9">
        <v>20</v>
      </c>
      <c r="C9">
        <v>1</v>
      </c>
      <c r="D9" s="2">
        <f t="shared" si="0"/>
        <v>1.9607843137254903</v>
      </c>
      <c r="E9" s="10">
        <v>24</v>
      </c>
      <c r="F9" s="2">
        <f t="shared" si="5"/>
        <v>47.05882352941177</v>
      </c>
      <c r="G9" s="4">
        <f t="shared" si="1"/>
        <v>533.3333333333334</v>
      </c>
      <c r="H9" s="2">
        <f t="shared" si="6"/>
        <v>31.372549019607845</v>
      </c>
      <c r="I9" s="2">
        <f t="shared" si="2"/>
        <v>94.11764705882354</v>
      </c>
      <c r="J9" s="2">
        <f t="shared" si="3"/>
        <v>188.23529411764707</v>
      </c>
      <c r="K9" s="2">
        <f t="shared" si="4"/>
        <v>282.3529411764706</v>
      </c>
      <c r="L9" s="2">
        <f t="shared" si="7"/>
        <v>658.8235294117648</v>
      </c>
      <c r="M9" t="s">
        <v>508</v>
      </c>
      <c r="N9" s="8" t="s">
        <v>152</v>
      </c>
      <c r="S9" s="50">
        <v>0</v>
      </c>
      <c r="T9">
        <f>S9*13</f>
        <v>0</v>
      </c>
      <c r="U9" t="s">
        <v>505</v>
      </c>
    </row>
    <row r="10" spans="1:25" ht="12.75">
      <c r="A10" s="28" t="s">
        <v>1082</v>
      </c>
      <c r="B10" t="s">
        <v>1084</v>
      </c>
      <c r="D10" s="14">
        <f>IF(B32&gt;80,MAX(0,(1-B32/400)*N19),N19)</f>
        <v>0.17960000000000004</v>
      </c>
      <c r="E10" s="10">
        <v>24</v>
      </c>
      <c r="F10" s="2">
        <f t="shared" si="5"/>
        <v>4.310400000000001</v>
      </c>
      <c r="G10" s="4">
        <f>F10*12.6</f>
        <v>54.31104000000001</v>
      </c>
      <c r="H10" s="2">
        <f t="shared" si="6"/>
        <v>2.8736000000000006</v>
      </c>
      <c r="I10" s="2">
        <f t="shared" si="2"/>
        <v>8.620800000000003</v>
      </c>
      <c r="J10" s="2">
        <f t="shared" si="3"/>
        <v>17.241600000000005</v>
      </c>
      <c r="K10" s="2">
        <f t="shared" si="4"/>
        <v>25.862400000000008</v>
      </c>
      <c r="L10" s="2">
        <f t="shared" si="7"/>
        <v>60.34560000000002</v>
      </c>
      <c r="N10" s="8" t="s">
        <v>779</v>
      </c>
      <c r="U10" t="s">
        <v>828</v>
      </c>
      <c r="Y10" t="s">
        <v>1211</v>
      </c>
    </row>
    <row r="11" spans="1:25" ht="12.75">
      <c r="A11" t="s">
        <v>250</v>
      </c>
      <c r="B11" t="s">
        <v>1084</v>
      </c>
      <c r="D11" s="2"/>
      <c r="E11" s="10">
        <v>24</v>
      </c>
      <c r="F11" s="2">
        <f t="shared" si="5"/>
        <v>0</v>
      </c>
      <c r="G11" s="4">
        <f>F11*12.6</f>
        <v>0</v>
      </c>
      <c r="H11" s="2">
        <f t="shared" si="6"/>
        <v>0</v>
      </c>
      <c r="I11" s="2">
        <f t="shared" si="2"/>
        <v>0</v>
      </c>
      <c r="J11" s="2">
        <f t="shared" si="3"/>
        <v>0</v>
      </c>
      <c r="K11" s="2">
        <f t="shared" si="4"/>
        <v>0</v>
      </c>
      <c r="L11" s="2">
        <f t="shared" si="7"/>
        <v>0</v>
      </c>
      <c r="N11" s="8" t="s">
        <v>780</v>
      </c>
      <c r="U11" t="s">
        <v>830</v>
      </c>
      <c r="Y11" t="s">
        <v>1212</v>
      </c>
    </row>
    <row r="12" spans="1:25" ht="12.75">
      <c r="A12" s="27" t="s">
        <v>750</v>
      </c>
      <c r="B12">
        <v>16</v>
      </c>
      <c r="C12">
        <v>0</v>
      </c>
      <c r="D12" s="2">
        <f aca="true" t="shared" si="8" ref="D12:D26">B12/($N$17/100)/12</f>
        <v>1.5686274509803921</v>
      </c>
      <c r="E12" s="10">
        <v>24</v>
      </c>
      <c r="F12" s="2">
        <f t="shared" si="5"/>
        <v>37.64705882352941</v>
      </c>
      <c r="G12" s="4">
        <f aca="true" t="shared" si="9" ref="G12:G30">(B12*E12)/0.9</f>
        <v>426.66666666666663</v>
      </c>
      <c r="H12" s="2">
        <f t="shared" si="6"/>
        <v>25.098039215686274</v>
      </c>
      <c r="I12" s="2">
        <f t="shared" si="2"/>
        <v>75.29411764705883</v>
      </c>
      <c r="J12" s="2">
        <f t="shared" si="3"/>
        <v>150.58823529411765</v>
      </c>
      <c r="K12" s="2">
        <f t="shared" si="4"/>
        <v>225.88235294117646</v>
      </c>
      <c r="L12" s="2">
        <f t="shared" si="7"/>
        <v>527.0588235294118</v>
      </c>
      <c r="N12" s="8" t="s">
        <v>404</v>
      </c>
      <c r="U12" t="s">
        <v>829</v>
      </c>
      <c r="Y12" t="s">
        <v>1213</v>
      </c>
    </row>
    <row r="13" spans="1:25" ht="12.75">
      <c r="A13" t="s">
        <v>82</v>
      </c>
      <c r="B13">
        <v>150</v>
      </c>
      <c r="D13" s="2">
        <f t="shared" si="8"/>
        <v>14.705882352941176</v>
      </c>
      <c r="E13" s="10">
        <v>4</v>
      </c>
      <c r="F13" s="2">
        <f t="shared" si="5"/>
        <v>58.8235294117647</v>
      </c>
      <c r="G13" s="4">
        <f t="shared" si="9"/>
        <v>666.6666666666666</v>
      </c>
      <c r="H13" s="2">
        <f t="shared" si="6"/>
        <v>39.2156862745098</v>
      </c>
      <c r="I13" s="2">
        <f t="shared" si="2"/>
        <v>117.6470588235294</v>
      </c>
      <c r="J13" s="2">
        <f t="shared" si="3"/>
        <v>235.2941176470588</v>
      </c>
      <c r="K13" s="2">
        <f t="shared" si="4"/>
        <v>352.94117647058823</v>
      </c>
      <c r="L13" s="2">
        <f t="shared" si="7"/>
        <v>823.5294117647059</v>
      </c>
      <c r="N13" s="8" t="s">
        <v>916</v>
      </c>
      <c r="T13" s="53" t="s">
        <v>887</v>
      </c>
      <c r="V13" s="60" t="s">
        <v>88</v>
      </c>
      <c r="Y13" t="s">
        <v>1214</v>
      </c>
    </row>
    <row r="14" spans="1:21" ht="12.75">
      <c r="A14" s="27" t="s">
        <v>168</v>
      </c>
      <c r="B14">
        <v>9</v>
      </c>
      <c r="C14" t="s">
        <v>226</v>
      </c>
      <c r="D14" s="2">
        <f t="shared" si="8"/>
        <v>0.8823529411764706</v>
      </c>
      <c r="E14" s="10">
        <v>6</v>
      </c>
      <c r="F14" s="2">
        <f t="shared" si="5"/>
        <v>5.294117647058823</v>
      </c>
      <c r="G14" s="4">
        <f t="shared" si="9"/>
        <v>60</v>
      </c>
      <c r="H14" s="2">
        <f t="shared" si="6"/>
        <v>3.5294117647058822</v>
      </c>
      <c r="I14" s="2">
        <f t="shared" si="2"/>
        <v>10.588235294117647</v>
      </c>
      <c r="J14" s="2">
        <f t="shared" si="3"/>
        <v>21.176470588235293</v>
      </c>
      <c r="K14" s="2">
        <f t="shared" si="4"/>
        <v>31.764705882352942</v>
      </c>
      <c r="L14" s="2">
        <f t="shared" si="7"/>
        <v>74.11764705882352</v>
      </c>
      <c r="N14" s="50">
        <v>50</v>
      </c>
      <c r="O14" s="8" t="s">
        <v>391</v>
      </c>
      <c r="T14">
        <f>T15/I60</f>
        <v>2520</v>
      </c>
      <c r="U14" t="s">
        <v>917</v>
      </c>
    </row>
    <row r="15" spans="1:25" ht="12.75">
      <c r="A15" s="27" t="s">
        <v>169</v>
      </c>
      <c r="B15">
        <v>1.2</v>
      </c>
      <c r="C15">
        <v>0</v>
      </c>
      <c r="D15" s="2">
        <f t="shared" si="8"/>
        <v>0.11764705882352942</v>
      </c>
      <c r="E15" s="10">
        <v>24</v>
      </c>
      <c r="F15" s="2">
        <f t="shared" si="5"/>
        <v>2.823529411764706</v>
      </c>
      <c r="G15" s="4">
        <f t="shared" si="9"/>
        <v>31.999999999999996</v>
      </c>
      <c r="H15" s="2">
        <f t="shared" si="6"/>
        <v>1.8823529411764706</v>
      </c>
      <c r="I15" s="2">
        <f t="shared" si="2"/>
        <v>5.647058823529412</v>
      </c>
      <c r="J15" s="2">
        <f t="shared" si="3"/>
        <v>11.294117647058824</v>
      </c>
      <c r="K15" s="2">
        <f t="shared" si="4"/>
        <v>16.941176470588236</v>
      </c>
      <c r="L15" s="2">
        <f t="shared" si="7"/>
        <v>39.529411764705884</v>
      </c>
      <c r="N15" s="13">
        <v>420</v>
      </c>
      <c r="O15" s="12" t="s">
        <v>534</v>
      </c>
      <c r="T15">
        <f>N15*12</f>
        <v>5040</v>
      </c>
      <c r="U15" t="s">
        <v>918</v>
      </c>
      <c r="Y15" t="s">
        <v>1204</v>
      </c>
    </row>
    <row r="16" spans="1:25" ht="12.75">
      <c r="A16" t="s">
        <v>58</v>
      </c>
      <c r="D16" s="2">
        <f t="shared" si="8"/>
        <v>0</v>
      </c>
      <c r="E16" s="10">
        <v>24</v>
      </c>
      <c r="F16" s="2">
        <f t="shared" si="5"/>
        <v>0</v>
      </c>
      <c r="G16" s="4">
        <f t="shared" si="9"/>
        <v>0</v>
      </c>
      <c r="H16" s="2">
        <f t="shared" si="6"/>
        <v>0</v>
      </c>
      <c r="I16" s="2">
        <f t="shared" si="2"/>
        <v>0</v>
      </c>
      <c r="J16" s="2">
        <f t="shared" si="3"/>
        <v>0</v>
      </c>
      <c r="K16" s="2">
        <f t="shared" si="4"/>
        <v>0</v>
      </c>
      <c r="L16" s="2">
        <f t="shared" si="7"/>
        <v>0</v>
      </c>
      <c r="N16" s="33">
        <f>N15+S9</f>
        <v>420</v>
      </c>
      <c r="O16" s="8" t="s">
        <v>405</v>
      </c>
      <c r="P16" s="8"/>
      <c r="Q16" s="8"/>
      <c r="R16" s="8"/>
      <c r="T16">
        <f>N16*12</f>
        <v>5040</v>
      </c>
      <c r="U16" t="s">
        <v>1203</v>
      </c>
      <c r="Y16" t="s">
        <v>1205</v>
      </c>
    </row>
    <row r="17" spans="1:25" ht="12.75">
      <c r="A17" t="s">
        <v>1102</v>
      </c>
      <c r="D17" s="2">
        <f t="shared" si="8"/>
        <v>0</v>
      </c>
      <c r="E17" s="10">
        <v>0.5</v>
      </c>
      <c r="F17" s="2">
        <f t="shared" si="5"/>
        <v>0</v>
      </c>
      <c r="G17" s="4">
        <f t="shared" si="9"/>
        <v>0</v>
      </c>
      <c r="H17" s="2">
        <f t="shared" si="6"/>
        <v>0</v>
      </c>
      <c r="I17" s="2">
        <f t="shared" si="2"/>
        <v>0</v>
      </c>
      <c r="J17" s="2">
        <f t="shared" si="3"/>
        <v>0</v>
      </c>
      <c r="K17" s="2">
        <f t="shared" si="4"/>
        <v>0</v>
      </c>
      <c r="L17" s="2">
        <f t="shared" si="7"/>
        <v>0</v>
      </c>
      <c r="N17" s="16">
        <v>85</v>
      </c>
      <c r="O17" s="12" t="s">
        <v>42</v>
      </c>
      <c r="S17" t="s">
        <v>1202</v>
      </c>
      <c r="Y17" t="s">
        <v>1206</v>
      </c>
    </row>
    <row r="18" spans="1:25" ht="12.75">
      <c r="A18" t="s">
        <v>60</v>
      </c>
      <c r="D18" s="2">
        <f t="shared" si="8"/>
        <v>0</v>
      </c>
      <c r="E18" s="10">
        <v>24</v>
      </c>
      <c r="F18" s="2">
        <f t="shared" si="5"/>
        <v>0</v>
      </c>
      <c r="G18" s="4">
        <f t="shared" si="9"/>
        <v>0</v>
      </c>
      <c r="H18" s="2">
        <f t="shared" si="6"/>
        <v>0</v>
      </c>
      <c r="I18" s="2">
        <f t="shared" si="2"/>
        <v>0</v>
      </c>
      <c r="J18" s="2">
        <f t="shared" si="3"/>
        <v>0</v>
      </c>
      <c r="K18" s="2">
        <f t="shared" si="4"/>
        <v>0</v>
      </c>
      <c r="L18" s="2">
        <f t="shared" si="7"/>
        <v>0</v>
      </c>
      <c r="N18" s="16">
        <v>2000</v>
      </c>
      <c r="O18" s="8" t="s">
        <v>177</v>
      </c>
      <c r="S18" t="s">
        <v>532</v>
      </c>
      <c r="V18" t="s">
        <v>411</v>
      </c>
      <c r="Y18" t="s">
        <v>1207</v>
      </c>
    </row>
    <row r="19" spans="1:25" ht="12.75">
      <c r="A19" t="s">
        <v>1103</v>
      </c>
      <c r="D19" s="2">
        <f t="shared" si="8"/>
        <v>0</v>
      </c>
      <c r="E19" s="10">
        <v>0.1</v>
      </c>
      <c r="F19" s="2">
        <f t="shared" si="5"/>
        <v>0</v>
      </c>
      <c r="G19" s="4">
        <f t="shared" si="9"/>
        <v>0</v>
      </c>
      <c r="H19" s="2">
        <f t="shared" si="6"/>
        <v>0</v>
      </c>
      <c r="I19" s="2">
        <f t="shared" si="2"/>
        <v>0</v>
      </c>
      <c r="J19" s="2">
        <f t="shared" si="3"/>
        <v>0</v>
      </c>
      <c r="K19" s="2">
        <f t="shared" si="4"/>
        <v>0</v>
      </c>
      <c r="L19" s="2">
        <f t="shared" si="7"/>
        <v>0</v>
      </c>
      <c r="N19" s="61">
        <v>0.8</v>
      </c>
      <c r="O19" s="8" t="s">
        <v>1064</v>
      </c>
      <c r="P19" s="104"/>
      <c r="Q19" s="104"/>
      <c r="R19" s="104"/>
      <c r="U19" t="s">
        <v>412</v>
      </c>
      <c r="Y19" t="s">
        <v>1208</v>
      </c>
    </row>
    <row r="20" spans="1:21" ht="12.75">
      <c r="A20" t="s">
        <v>717</v>
      </c>
      <c r="D20" s="2">
        <f t="shared" si="8"/>
        <v>0</v>
      </c>
      <c r="E20" s="10">
        <v>24</v>
      </c>
      <c r="F20" s="2">
        <f>D20*E20</f>
        <v>0</v>
      </c>
      <c r="G20" s="4">
        <f t="shared" si="9"/>
        <v>0</v>
      </c>
      <c r="H20" s="2">
        <f t="shared" si="6"/>
        <v>0</v>
      </c>
      <c r="I20" s="2">
        <f t="shared" si="2"/>
        <v>0</v>
      </c>
      <c r="J20" s="2">
        <f t="shared" si="3"/>
        <v>0</v>
      </c>
      <c r="K20" s="2">
        <f>I20*3</f>
        <v>0</v>
      </c>
      <c r="L20" s="2">
        <f t="shared" si="7"/>
        <v>0</v>
      </c>
      <c r="N20" s="50">
        <v>900</v>
      </c>
      <c r="O20" s="8" t="s">
        <v>819</v>
      </c>
      <c r="S20" s="50" t="s">
        <v>500</v>
      </c>
      <c r="T20" s="2"/>
      <c r="U20" s="96" t="s">
        <v>995</v>
      </c>
    </row>
    <row r="21" spans="1:21" ht="12.75">
      <c r="A21" t="s">
        <v>833</v>
      </c>
      <c r="D21" s="2">
        <f t="shared" si="8"/>
        <v>0</v>
      </c>
      <c r="E21" s="10">
        <f>(S37*((S36-S38)*2))/100</f>
        <v>3.36</v>
      </c>
      <c r="F21" s="2">
        <f t="shared" si="5"/>
        <v>0</v>
      </c>
      <c r="G21" s="4">
        <f t="shared" si="9"/>
        <v>0</v>
      </c>
      <c r="H21" s="2">
        <f t="shared" si="6"/>
        <v>0</v>
      </c>
      <c r="I21" s="2">
        <f t="shared" si="2"/>
        <v>0</v>
      </c>
      <c r="J21" s="2">
        <f t="shared" si="3"/>
        <v>0</v>
      </c>
      <c r="K21" s="2">
        <f t="shared" si="4"/>
        <v>0</v>
      </c>
      <c r="L21" s="2">
        <f t="shared" si="7"/>
        <v>0</v>
      </c>
      <c r="P21" s="97" t="s">
        <v>71</v>
      </c>
      <c r="U21" t="s">
        <v>996</v>
      </c>
    </row>
    <row r="22" spans="1:21" ht="12.75">
      <c r="A22" s="27" t="s">
        <v>1146</v>
      </c>
      <c r="B22">
        <v>8</v>
      </c>
      <c r="C22">
        <v>0</v>
      </c>
      <c r="D22" s="2">
        <f t="shared" si="8"/>
        <v>0.7843137254901961</v>
      </c>
      <c r="E22" s="10">
        <v>2</v>
      </c>
      <c r="F22" s="2">
        <f t="shared" si="5"/>
        <v>1.5686274509803921</v>
      </c>
      <c r="G22" s="4">
        <f t="shared" si="9"/>
        <v>17.77777777777778</v>
      </c>
      <c r="H22" s="2">
        <f t="shared" si="6"/>
        <v>1.045751633986928</v>
      </c>
      <c r="I22" s="2">
        <f t="shared" si="2"/>
        <v>3.1372549019607843</v>
      </c>
      <c r="J22" s="2">
        <f t="shared" si="3"/>
        <v>6.2745098039215685</v>
      </c>
      <c r="K22" s="2">
        <f t="shared" si="4"/>
        <v>9.411764705882353</v>
      </c>
      <c r="L22" s="2">
        <f t="shared" si="7"/>
        <v>21.96078431372549</v>
      </c>
      <c r="N22" s="7">
        <f>(N16/$I$60)/F32</f>
        <v>0.5086102249821896</v>
      </c>
      <c r="O22" s="6" t="s">
        <v>673</v>
      </c>
      <c r="U22" t="s">
        <v>997</v>
      </c>
    </row>
    <row r="23" spans="1:21" ht="12.75">
      <c r="A23" t="s">
        <v>162</v>
      </c>
      <c r="D23" s="2">
        <f t="shared" si="8"/>
        <v>0</v>
      </c>
      <c r="E23" s="10">
        <v>24</v>
      </c>
      <c r="F23" s="2">
        <f t="shared" si="5"/>
        <v>0</v>
      </c>
      <c r="G23" s="4">
        <f t="shared" si="9"/>
        <v>0</v>
      </c>
      <c r="H23" s="2">
        <f t="shared" si="6"/>
        <v>0</v>
      </c>
      <c r="I23" s="2">
        <f t="shared" si="2"/>
        <v>0</v>
      </c>
      <c r="J23" s="2">
        <f t="shared" si="3"/>
        <v>0</v>
      </c>
      <c r="K23" s="2">
        <f t="shared" si="4"/>
        <v>0</v>
      </c>
      <c r="L23" s="2">
        <f t="shared" si="7"/>
        <v>0</v>
      </c>
      <c r="N23" s="5">
        <f>N22*24</f>
        <v>12.20664539957255</v>
      </c>
      <c r="O23" s="6" t="s">
        <v>674</v>
      </c>
      <c r="U23" t="s">
        <v>998</v>
      </c>
    </row>
    <row r="24" spans="1:21" ht="12.75">
      <c r="A24" t="s">
        <v>164</v>
      </c>
      <c r="D24" s="2">
        <f t="shared" si="8"/>
        <v>0</v>
      </c>
      <c r="E24" s="10">
        <v>0.1</v>
      </c>
      <c r="F24" s="2">
        <f t="shared" si="5"/>
        <v>0</v>
      </c>
      <c r="G24" s="4">
        <f t="shared" si="9"/>
        <v>0</v>
      </c>
      <c r="H24" s="2">
        <f t="shared" si="6"/>
        <v>0</v>
      </c>
      <c r="I24" s="2">
        <f t="shared" si="2"/>
        <v>0</v>
      </c>
      <c r="J24" s="2">
        <f t="shared" si="3"/>
        <v>0</v>
      </c>
      <c r="K24" s="2">
        <f t="shared" si="4"/>
        <v>0</v>
      </c>
      <c r="L24" s="2">
        <f t="shared" si="7"/>
        <v>0</v>
      </c>
      <c r="N24" s="5">
        <f>I47</f>
        <v>6.082099909215791</v>
      </c>
      <c r="O24" s="6" t="s">
        <v>784</v>
      </c>
      <c r="U24" t="s">
        <v>999</v>
      </c>
    </row>
    <row r="25" spans="1:21" ht="12.75">
      <c r="A25" t="s">
        <v>1087</v>
      </c>
      <c r="D25" s="2">
        <f t="shared" si="8"/>
        <v>0</v>
      </c>
      <c r="E25" s="10">
        <v>12</v>
      </c>
      <c r="F25" s="2">
        <f t="shared" si="5"/>
        <v>0</v>
      </c>
      <c r="G25" s="4">
        <f t="shared" si="9"/>
        <v>0</v>
      </c>
      <c r="H25" s="2">
        <f t="shared" si="6"/>
        <v>0</v>
      </c>
      <c r="I25" s="2">
        <f t="shared" si="2"/>
        <v>0</v>
      </c>
      <c r="J25" s="2">
        <f t="shared" si="3"/>
        <v>0</v>
      </c>
      <c r="K25" s="2">
        <f t="shared" si="4"/>
        <v>0</v>
      </c>
      <c r="L25" s="2">
        <f t="shared" si="7"/>
        <v>0</v>
      </c>
      <c r="O25" s="6" t="s">
        <v>479</v>
      </c>
      <c r="U25" t="s">
        <v>665</v>
      </c>
    </row>
    <row r="26" spans="1:23" ht="12.75">
      <c r="A26" t="s">
        <v>1013</v>
      </c>
      <c r="D26" s="2">
        <f t="shared" si="8"/>
        <v>0</v>
      </c>
      <c r="E26" s="10">
        <v>8</v>
      </c>
      <c r="F26" s="2">
        <f t="shared" si="5"/>
        <v>0</v>
      </c>
      <c r="G26" s="4">
        <f t="shared" si="9"/>
        <v>0</v>
      </c>
      <c r="H26" s="2">
        <f t="shared" si="6"/>
        <v>0</v>
      </c>
      <c r="I26" s="2">
        <f t="shared" si="2"/>
        <v>0</v>
      </c>
      <c r="J26" s="2">
        <f t="shared" si="3"/>
        <v>0</v>
      </c>
      <c r="K26" s="2">
        <f t="shared" si="4"/>
        <v>0</v>
      </c>
      <c r="L26" s="2">
        <f t="shared" si="7"/>
        <v>0</v>
      </c>
      <c r="O26" s="8" t="s">
        <v>760</v>
      </c>
      <c r="R26">
        <f>S9</f>
        <v>0</v>
      </c>
      <c r="U26" t="s">
        <v>994</v>
      </c>
      <c r="W26" s="50"/>
    </row>
    <row r="27" spans="1:23" ht="12.75">
      <c r="A27" t="s">
        <v>39</v>
      </c>
      <c r="D27" s="2">
        <v>0.233</v>
      </c>
      <c r="E27" s="10">
        <v>24</v>
      </c>
      <c r="F27" s="2">
        <f t="shared" si="5"/>
        <v>5.5920000000000005</v>
      </c>
      <c r="G27" s="4">
        <f>(C27*E27)/0.9</f>
        <v>0</v>
      </c>
      <c r="H27" s="2">
        <f t="shared" si="6"/>
        <v>3.728</v>
      </c>
      <c r="I27" s="2">
        <f t="shared" si="2"/>
        <v>11.184000000000001</v>
      </c>
      <c r="J27" s="2">
        <f t="shared" si="3"/>
        <v>22.368000000000002</v>
      </c>
      <c r="K27" s="2">
        <f t="shared" si="4"/>
        <v>33.55200000000001</v>
      </c>
      <c r="L27" s="2">
        <f t="shared" si="7"/>
        <v>78.28800000000001</v>
      </c>
      <c r="O27" s="6" t="s">
        <v>438</v>
      </c>
      <c r="R27" s="76">
        <f>N20</f>
        <v>900</v>
      </c>
      <c r="S27" s="8" t="s">
        <v>1167</v>
      </c>
      <c r="U27" s="50" t="s">
        <v>383</v>
      </c>
      <c r="W27" s="50"/>
    </row>
    <row r="28" spans="1:21" ht="12.75">
      <c r="A28" t="s">
        <v>96</v>
      </c>
      <c r="D28" s="2">
        <v>0.015</v>
      </c>
      <c r="E28" s="10">
        <v>24</v>
      </c>
      <c r="F28" s="2">
        <f>D28*E28</f>
        <v>0.36</v>
      </c>
      <c r="G28" s="4">
        <f>(C28*E28)/0.9</f>
        <v>0</v>
      </c>
      <c r="H28" s="2">
        <f t="shared" si="6"/>
        <v>0.24</v>
      </c>
      <c r="I28" s="2">
        <f t="shared" si="2"/>
        <v>0.72</v>
      </c>
      <c r="J28" s="2">
        <f t="shared" si="3"/>
        <v>1.44</v>
      </c>
      <c r="K28" s="2">
        <f>I28*3</f>
        <v>2.16</v>
      </c>
      <c r="L28" s="2">
        <f t="shared" si="7"/>
        <v>5.04</v>
      </c>
      <c r="N28" s="7">
        <f>IF(I58&gt;120,"  OK",I58)</f>
        <v>0.8307487657065037</v>
      </c>
      <c r="O28" s="6" t="s">
        <v>669</v>
      </c>
      <c r="S28" s="4">
        <f>(R27*R49)</f>
        <v>3168</v>
      </c>
      <c r="T28" t="s">
        <v>887</v>
      </c>
      <c r="U28" s="50" t="s">
        <v>1000</v>
      </c>
    </row>
    <row r="29" spans="1:21" ht="12.75">
      <c r="A29" t="s">
        <v>97</v>
      </c>
      <c r="D29" s="2">
        <v>0</v>
      </c>
      <c r="E29" s="10">
        <v>24</v>
      </c>
      <c r="F29" s="2">
        <f>D29*E29</f>
        <v>0</v>
      </c>
      <c r="G29" s="4">
        <f t="shared" si="9"/>
        <v>0</v>
      </c>
      <c r="H29" s="2">
        <f t="shared" si="6"/>
        <v>0</v>
      </c>
      <c r="I29" s="2">
        <f t="shared" si="2"/>
        <v>0</v>
      </c>
      <c r="J29" s="2">
        <f t="shared" si="3"/>
        <v>0</v>
      </c>
      <c r="K29" s="2">
        <f>I29*3</f>
        <v>0</v>
      </c>
      <c r="L29" s="2">
        <f t="shared" si="7"/>
        <v>0</v>
      </c>
      <c r="N29" s="5">
        <f>IF(N28="  OK","  OK",N28*24)</f>
        <v>19.937970376956088</v>
      </c>
      <c r="O29" s="6" t="s">
        <v>670</v>
      </c>
      <c r="U29" s="96" t="s">
        <v>384</v>
      </c>
    </row>
    <row r="30" spans="1:21" ht="12.75">
      <c r="A30" t="s">
        <v>38</v>
      </c>
      <c r="D30" s="2">
        <v>0</v>
      </c>
      <c r="E30" s="10">
        <v>24</v>
      </c>
      <c r="F30" s="2">
        <f>D30*E30</f>
        <v>0</v>
      </c>
      <c r="G30" s="4">
        <f t="shared" si="9"/>
        <v>0</v>
      </c>
      <c r="H30" s="2">
        <f t="shared" si="6"/>
        <v>0</v>
      </c>
      <c r="I30" s="2">
        <f t="shared" si="2"/>
        <v>0</v>
      </c>
      <c r="J30" s="2">
        <f t="shared" si="3"/>
        <v>0</v>
      </c>
      <c r="K30" s="2">
        <f>I30*3</f>
        <v>0</v>
      </c>
      <c r="L30" s="2">
        <f t="shared" si="7"/>
        <v>0</v>
      </c>
      <c r="N30" s="7">
        <f>IF(I68&gt;90,"  OK",I68)</f>
        <v>1.2419251760873817</v>
      </c>
      <c r="O30" s="6" t="s">
        <v>671</v>
      </c>
      <c r="S30" s="4">
        <f>R27*R50</f>
        <v>4824</v>
      </c>
      <c r="T30" t="s">
        <v>887</v>
      </c>
      <c r="U30" s="96" t="s">
        <v>1201</v>
      </c>
    </row>
    <row r="31" spans="1:21" ht="12.75">
      <c r="A31" s="8" t="s">
        <v>865</v>
      </c>
      <c r="D31" s="2"/>
      <c r="E31" s="2"/>
      <c r="F31" s="88" t="s">
        <v>328</v>
      </c>
      <c r="G31" s="4">
        <f>SUM(G4:G30)</f>
        <v>4617.422151111111</v>
      </c>
      <c r="H31" s="91" t="str">
        <f>H3</f>
        <v>8</v>
      </c>
      <c r="I31" s="91" t="s">
        <v>357</v>
      </c>
      <c r="J31" s="91" t="s">
        <v>358</v>
      </c>
      <c r="K31" s="91" t="s">
        <v>359</v>
      </c>
      <c r="L31" s="91" t="str">
        <f>L3</f>
        <v>7</v>
      </c>
      <c r="N31" s="5">
        <f>IF(N30="  OK","  OK",N30*24)</f>
        <v>29.80620422609716</v>
      </c>
      <c r="O31" s="6" t="s">
        <v>672</v>
      </c>
      <c r="U31" s="96"/>
    </row>
    <row r="32" spans="1:21" ht="12.75">
      <c r="A32" s="8" t="s">
        <v>146</v>
      </c>
      <c r="B32" s="10">
        <f>SUM(B4:B30)</f>
        <v>310.2</v>
      </c>
      <c r="C32" s="10"/>
      <c r="D32" s="2">
        <f>SUM(D4:D30)</f>
        <v>30.839364705882353</v>
      </c>
      <c r="E32" s="2"/>
      <c r="F32" s="78">
        <f>SUM(F4:F30)</f>
        <v>412.88985098039217</v>
      </c>
      <c r="G32" s="4">
        <f>SUM(G4:G30)</f>
        <v>4617.422151111111</v>
      </c>
      <c r="H32" s="2">
        <f>SUM(H4:H30)</f>
        <v>275.25990065359474</v>
      </c>
      <c r="I32" s="2">
        <f>SUM(I4:I30)</f>
        <v>825.7797019607843</v>
      </c>
      <c r="J32" s="2">
        <f aca="true" t="shared" si="10" ref="J32:J47">I32*2</f>
        <v>1651.5594039215687</v>
      </c>
      <c r="K32" s="2">
        <f aca="true" t="shared" si="11" ref="K32:K47">I32*3</f>
        <v>2477.339105882353</v>
      </c>
      <c r="L32" s="2">
        <f aca="true" t="shared" si="12" ref="L32:L47">I32*4</f>
        <v>3303.1188078431373</v>
      </c>
      <c r="M32" s="8" t="s">
        <v>153</v>
      </c>
      <c r="S32" t="s">
        <v>848</v>
      </c>
      <c r="U32" t="s">
        <v>136</v>
      </c>
    </row>
    <row r="33" spans="5:21" ht="12.75">
      <c r="E33" t="s">
        <v>1088</v>
      </c>
      <c r="H33" s="2">
        <f>H32/2</f>
        <v>137.62995032679737</v>
      </c>
      <c r="I33" s="42">
        <f>MAX(0,IF(I54&gt;0,(I32/$I$60)-I54,I32/$I$60))</f>
        <v>252.78400482654604</v>
      </c>
      <c r="J33" s="2">
        <f t="shared" si="10"/>
        <v>505.5680096530921</v>
      </c>
      <c r="K33" s="2">
        <f t="shared" si="11"/>
        <v>758.3520144796381</v>
      </c>
      <c r="L33" s="2">
        <f t="shared" si="12"/>
        <v>1011.1360193061842</v>
      </c>
      <c r="U33" t="s">
        <v>137</v>
      </c>
    </row>
    <row r="34" spans="1:21" ht="12.75">
      <c r="A34" s="8" t="s">
        <v>753</v>
      </c>
      <c r="E34" t="s">
        <v>810</v>
      </c>
      <c r="H34" s="2">
        <f>H33/$N$15*100</f>
        <v>32.76903579209461</v>
      </c>
      <c r="I34" s="2">
        <f>I33/$N$15*100</f>
        <v>60.186667815844295</v>
      </c>
      <c r="J34" s="2">
        <f>J33/$N$15*100</f>
        <v>120.37333563168859</v>
      </c>
      <c r="K34" s="2">
        <f>K33/$N$15*100</f>
        <v>180.5600034475329</v>
      </c>
      <c r="L34" s="2">
        <f>L33/$N$15*100</f>
        <v>240.74667126337718</v>
      </c>
      <c r="N34" s="33">
        <f>N15+I54</f>
        <v>580.1058461538462</v>
      </c>
      <c r="O34" s="6" t="s">
        <v>439</v>
      </c>
      <c r="U34" t="s">
        <v>138</v>
      </c>
    </row>
    <row r="35" spans="1:21" ht="12.75">
      <c r="A35" s="48" t="s">
        <v>1092</v>
      </c>
      <c r="D35" t="s">
        <v>915</v>
      </c>
      <c r="H35" s="2">
        <f>H33*1.15</f>
        <v>158.27444287581696</v>
      </c>
      <c r="I35" s="2">
        <f>I33*1.15</f>
        <v>290.7016055505279</v>
      </c>
      <c r="J35" s="2">
        <f>J33*1.15</f>
        <v>581.4032111010558</v>
      </c>
      <c r="K35" s="2">
        <f>K33*1.15</f>
        <v>872.1048166515837</v>
      </c>
      <c r="L35" s="2">
        <f>L33*1.15</f>
        <v>1162.8064222021117</v>
      </c>
      <c r="N35" s="33">
        <f>N15+I64</f>
        <v>663.7975384615385</v>
      </c>
      <c r="O35" s="6" t="s">
        <v>440</v>
      </c>
      <c r="U35" t="s">
        <v>514</v>
      </c>
    </row>
    <row r="36" spans="1:21" ht="12.75">
      <c r="A36" s="48" t="s">
        <v>227</v>
      </c>
      <c r="E36" s="107" t="s">
        <v>1085</v>
      </c>
      <c r="F36" s="107"/>
      <c r="H36" s="4">
        <f>H33*12</f>
        <v>1651.5594039215684</v>
      </c>
      <c r="I36" s="4">
        <f>I33*12</f>
        <v>3033.4080579185525</v>
      </c>
      <c r="J36" s="4">
        <f>J33*12</f>
        <v>6066.816115837105</v>
      </c>
      <c r="K36" s="4">
        <f>K33*12</f>
        <v>9100.224173755658</v>
      </c>
      <c r="L36" s="4">
        <f>L33*12</f>
        <v>12133.63223167421</v>
      </c>
      <c r="M36" t="s">
        <v>1086</v>
      </c>
      <c r="N36" s="6" t="s">
        <v>445</v>
      </c>
      <c r="S36" s="50">
        <v>68</v>
      </c>
      <c r="U36" t="s">
        <v>849</v>
      </c>
    </row>
    <row r="37" spans="1:19" ht="12.75">
      <c r="A37" t="s">
        <v>228</v>
      </c>
      <c r="E37" t="s">
        <v>441</v>
      </c>
      <c r="H37" s="2">
        <f>H33/$N$34*100</f>
        <v>23.72497213039591</v>
      </c>
      <c r="I37" s="2">
        <f>I33/$N$34*100</f>
        <v>43.5754968688088</v>
      </c>
      <c r="J37" s="2">
        <f>J33/$N$34*100</f>
        <v>87.1509937376176</v>
      </c>
      <c r="K37" s="2">
        <f>K33/$N$34*100</f>
        <v>130.7264906064264</v>
      </c>
      <c r="L37" s="2">
        <f>L33/$N$34*100</f>
        <v>174.3019874752352</v>
      </c>
      <c r="N37" s="6" t="s">
        <v>73</v>
      </c>
      <c r="S37" s="50">
        <v>6</v>
      </c>
    </row>
    <row r="38" spans="1:21" ht="12.75">
      <c r="A38" t="s">
        <v>229</v>
      </c>
      <c r="E38" t="s">
        <v>442</v>
      </c>
      <c r="H38" s="2">
        <f>H33/$N$35*100</f>
        <v>20.733724118016124</v>
      </c>
      <c r="I38" s="2">
        <f>I33/$N$35*100</f>
        <v>38.08149174707926</v>
      </c>
      <c r="J38" s="2">
        <f>J33/$N$35*100</f>
        <v>76.16298349415852</v>
      </c>
      <c r="K38" s="2">
        <f>K33/$N$35*100</f>
        <v>114.24447524123778</v>
      </c>
      <c r="L38" s="2">
        <f>L33/$N$35*100</f>
        <v>152.32596698831705</v>
      </c>
      <c r="N38" s="6" t="s">
        <v>74</v>
      </c>
      <c r="S38" s="50">
        <v>40</v>
      </c>
      <c r="U38" s="24" t="s">
        <v>81</v>
      </c>
    </row>
    <row r="39" spans="1:14" ht="12.75">
      <c r="A39" t="s">
        <v>233</v>
      </c>
      <c r="H39" s="2"/>
      <c r="I39" s="2"/>
      <c r="J39" s="2"/>
      <c r="K39" s="2"/>
      <c r="L39" s="2"/>
      <c r="N39" s="6" t="s">
        <v>818</v>
      </c>
    </row>
    <row r="40" spans="1:21" ht="12.75">
      <c r="A40" t="s">
        <v>234</v>
      </c>
      <c r="C40" s="60" t="s">
        <v>463</v>
      </c>
      <c r="H40" s="88" t="s">
        <v>841</v>
      </c>
      <c r="I40" s="2"/>
      <c r="J40" s="2"/>
      <c r="K40" s="2"/>
      <c r="L40" s="2"/>
      <c r="N40" t="s">
        <v>749</v>
      </c>
      <c r="P40" t="s">
        <v>462</v>
      </c>
      <c r="U40" s="90" t="s">
        <v>154</v>
      </c>
    </row>
    <row r="41" spans="1:21" ht="12.75">
      <c r="A41" t="s">
        <v>303</v>
      </c>
      <c r="D41" t="s">
        <v>1176</v>
      </c>
      <c r="F41">
        <v>200</v>
      </c>
      <c r="G41" t="s">
        <v>201</v>
      </c>
      <c r="H41" s="112">
        <f>H35/P41</f>
        <v>-47.139300951818704</v>
      </c>
      <c r="I41" s="112">
        <f>I35/P41</f>
        <v>-86.58043725969738</v>
      </c>
      <c r="J41" s="112">
        <f t="shared" si="10"/>
        <v>-173.16087451939475</v>
      </c>
      <c r="K41" s="112">
        <f t="shared" si="11"/>
        <v>-259.74131177909214</v>
      </c>
      <c r="L41" s="112">
        <f t="shared" si="12"/>
        <v>-346.3217490387895</v>
      </c>
      <c r="M41" t="s">
        <v>1142</v>
      </c>
      <c r="N41" s="10">
        <f aca="true" t="shared" si="13" ref="N41:N46">F41/13*0.9</f>
        <v>13.846153846153847</v>
      </c>
      <c r="P41" s="10">
        <f>N41-B54</f>
        <v>-3.357589944695828</v>
      </c>
      <c r="R41" s="2"/>
      <c r="U41" s="90" t="s">
        <v>155</v>
      </c>
    </row>
    <row r="42" spans="1:21" ht="12.75">
      <c r="A42" t="s">
        <v>304</v>
      </c>
      <c r="D42" t="s">
        <v>1176</v>
      </c>
      <c r="F42">
        <v>610</v>
      </c>
      <c r="G42" t="s">
        <v>201</v>
      </c>
      <c r="H42" s="109">
        <f>H35/P42</f>
        <v>6.324141207103265</v>
      </c>
      <c r="I42" s="109">
        <f>I35/P42</f>
        <v>11.615507653851747</v>
      </c>
      <c r="J42" s="109">
        <f t="shared" si="10"/>
        <v>23.231015307703494</v>
      </c>
      <c r="K42" s="109">
        <f t="shared" si="11"/>
        <v>34.84652296155524</v>
      </c>
      <c r="L42" s="109">
        <f t="shared" si="12"/>
        <v>46.46203061540699</v>
      </c>
      <c r="M42" t="s">
        <v>1142</v>
      </c>
      <c r="N42" s="10">
        <f t="shared" si="13"/>
        <v>42.230769230769226</v>
      </c>
      <c r="P42" s="10">
        <f>N42-B54</f>
        <v>25.02702543991955</v>
      </c>
      <c r="R42" s="20" t="s">
        <v>889</v>
      </c>
      <c r="U42" s="90" t="s">
        <v>156</v>
      </c>
    </row>
    <row r="43" spans="1:21" ht="12.75">
      <c r="A43" t="s">
        <v>224</v>
      </c>
      <c r="D43" t="s">
        <v>1176</v>
      </c>
      <c r="F43">
        <v>1110</v>
      </c>
      <c r="G43" t="s">
        <v>201</v>
      </c>
      <c r="H43" s="109">
        <f>H35/P43</f>
        <v>2.6537231263635217</v>
      </c>
      <c r="I43" s="109">
        <f>I35/P43</f>
        <v>4.8740754319111375</v>
      </c>
      <c r="J43" s="109">
        <f>I43*2</f>
        <v>9.748150863822275</v>
      </c>
      <c r="K43" s="109">
        <f>I43*3</f>
        <v>14.622226295733412</v>
      </c>
      <c r="L43" s="109">
        <f>I43*4</f>
        <v>19.49630172764455</v>
      </c>
      <c r="M43" t="s">
        <v>1142</v>
      </c>
      <c r="N43" s="10">
        <f t="shared" si="13"/>
        <v>76.84615384615385</v>
      </c>
      <c r="P43" s="10">
        <f>N43-B54</f>
        <v>59.64241005530418</v>
      </c>
      <c r="R43" t="s">
        <v>363</v>
      </c>
      <c r="U43" s="90" t="s">
        <v>157</v>
      </c>
    </row>
    <row r="44" spans="1:21" ht="12.75">
      <c r="A44" t="s">
        <v>230</v>
      </c>
      <c r="D44" t="s">
        <v>1176</v>
      </c>
      <c r="F44">
        <v>1510</v>
      </c>
      <c r="G44" t="s">
        <v>201</v>
      </c>
      <c r="H44" s="2">
        <f>H35/P44</f>
        <v>1.8122740527222336</v>
      </c>
      <c r="I44" s="2">
        <f>I35/P44</f>
        <v>3.3285915732919054</v>
      </c>
      <c r="J44" s="2">
        <f t="shared" si="10"/>
        <v>6.657183146583811</v>
      </c>
      <c r="K44" s="2">
        <f t="shared" si="11"/>
        <v>9.985774719875716</v>
      </c>
      <c r="L44" s="2">
        <f t="shared" si="12"/>
        <v>13.314366293167621</v>
      </c>
      <c r="M44" t="s">
        <v>1142</v>
      </c>
      <c r="N44" s="10">
        <f>F44/13*0.9</f>
        <v>104.53846153846155</v>
      </c>
      <c r="P44" s="10">
        <f>N44-B54</f>
        <v>87.33471774761188</v>
      </c>
      <c r="R44" t="s">
        <v>317</v>
      </c>
      <c r="U44" s="90" t="s">
        <v>158</v>
      </c>
    </row>
    <row r="45" spans="1:18" ht="12.75">
      <c r="A45" t="s">
        <v>223</v>
      </c>
      <c r="B45" s="29"/>
      <c r="C45" s="29"/>
      <c r="D45" t="s">
        <v>1176</v>
      </c>
      <c r="F45">
        <v>2500</v>
      </c>
      <c r="G45" t="s">
        <v>201</v>
      </c>
      <c r="H45" s="2">
        <f>H35/P45</f>
        <v>1.0154052390587127</v>
      </c>
      <c r="I45" s="2">
        <f>I35/P45</f>
        <v>1.8649879785733017</v>
      </c>
      <c r="J45" s="2">
        <f t="shared" si="10"/>
        <v>3.7299759571466033</v>
      </c>
      <c r="K45" s="2">
        <f t="shared" si="11"/>
        <v>5.594963935719905</v>
      </c>
      <c r="L45" s="2">
        <f t="shared" si="12"/>
        <v>7.459951914293207</v>
      </c>
      <c r="M45" t="s">
        <v>1142</v>
      </c>
      <c r="N45" s="10">
        <f t="shared" si="13"/>
        <v>173.0769230769231</v>
      </c>
      <c r="P45" s="10">
        <f>N45-B54</f>
        <v>155.87317928607342</v>
      </c>
      <c r="R45" t="s">
        <v>318</v>
      </c>
    </row>
    <row r="46" spans="1:21" ht="12.75">
      <c r="A46" t="s">
        <v>302</v>
      </c>
      <c r="D46" t="s">
        <v>1176</v>
      </c>
      <c r="F46">
        <v>4000</v>
      </c>
      <c r="G46" t="s">
        <v>201</v>
      </c>
      <c r="H46" s="2">
        <f>H35/P46</f>
        <v>0.6094057033298977</v>
      </c>
      <c r="I46" s="2">
        <f>I35/P46</f>
        <v>1.119291359810042</v>
      </c>
      <c r="J46" s="2">
        <f t="shared" si="10"/>
        <v>2.238582719620084</v>
      </c>
      <c r="K46" s="2">
        <f t="shared" si="11"/>
        <v>3.3578740794301263</v>
      </c>
      <c r="L46" s="2">
        <f t="shared" si="12"/>
        <v>4.477165439240168</v>
      </c>
      <c r="M46" t="s">
        <v>1142</v>
      </c>
      <c r="N46" s="10">
        <f t="shared" si="13"/>
        <v>276.9230769230769</v>
      </c>
      <c r="P46" s="10">
        <f>N46-B54</f>
        <v>259.71933313222723</v>
      </c>
      <c r="R46" t="s">
        <v>364</v>
      </c>
      <c r="U46" t="s">
        <v>59</v>
      </c>
    </row>
    <row r="47" spans="1:21" ht="12.75">
      <c r="A47" t="s">
        <v>1051</v>
      </c>
      <c r="D47" t="s">
        <v>1143</v>
      </c>
      <c r="H47" s="2">
        <f>H35/P47</f>
        <v>3.3114401718667703</v>
      </c>
      <c r="I47" s="2">
        <f>(I33*1.15)/P47</f>
        <v>6.082099909215791</v>
      </c>
      <c r="J47" s="2">
        <f t="shared" si="10"/>
        <v>12.164199818431582</v>
      </c>
      <c r="K47" s="2">
        <f t="shared" si="11"/>
        <v>18.246299727647372</v>
      </c>
      <c r="L47" s="2">
        <f t="shared" si="12"/>
        <v>24.328399636863164</v>
      </c>
      <c r="M47" t="s">
        <v>1142</v>
      </c>
      <c r="N47" s="10">
        <v>65</v>
      </c>
      <c r="P47" s="10">
        <f>N47-B54</f>
        <v>47.79625620915033</v>
      </c>
      <c r="U47" t="s">
        <v>1066</v>
      </c>
    </row>
    <row r="48" spans="2:21" ht="12.75">
      <c r="B48" t="s">
        <v>447</v>
      </c>
      <c r="H48" s="2"/>
      <c r="I48" s="2"/>
      <c r="J48" s="2"/>
      <c r="K48" s="2"/>
      <c r="L48" s="2"/>
      <c r="R48" t="s">
        <v>327</v>
      </c>
      <c r="S48" t="s">
        <v>808</v>
      </c>
      <c r="U48" t="s">
        <v>935</v>
      </c>
    </row>
    <row r="49" spans="1:21" ht="12.75">
      <c r="A49" t="s">
        <v>1196</v>
      </c>
      <c r="B49">
        <f>N20</f>
        <v>900</v>
      </c>
      <c r="D49" t="s">
        <v>807</v>
      </c>
      <c r="H49" s="2">
        <f>H35/P45</f>
        <v>1.0154052390587127</v>
      </c>
      <c r="I49" s="2">
        <f>I35/P45</f>
        <v>1.8649879785733017</v>
      </c>
      <c r="J49" s="2">
        <f>J35/P45</f>
        <v>3.7299759571466033</v>
      </c>
      <c r="K49" s="2">
        <f>K35/P45</f>
        <v>5.594963935719905</v>
      </c>
      <c r="L49" s="2">
        <f>L35/P45</f>
        <v>7.459951914293207</v>
      </c>
      <c r="N49" t="s">
        <v>347</v>
      </c>
      <c r="R49">
        <v>3.52</v>
      </c>
      <c r="S49">
        <v>3.46</v>
      </c>
      <c r="U49" t="s">
        <v>936</v>
      </c>
    </row>
    <row r="50" spans="1:19" ht="12.75">
      <c r="A50" t="s">
        <v>1197</v>
      </c>
      <c r="B50">
        <f>N20</f>
        <v>900</v>
      </c>
      <c r="D50" t="s">
        <v>319</v>
      </c>
      <c r="H50" s="2">
        <f>H35/P45</f>
        <v>1.0154052390587127</v>
      </c>
      <c r="I50" s="2">
        <f>I35/P45</f>
        <v>1.8649879785733017</v>
      </c>
      <c r="J50" s="2">
        <f>J35/P45</f>
        <v>3.7299759571466033</v>
      </c>
      <c r="K50" s="2">
        <f>K35/P45</f>
        <v>5.594963935719905</v>
      </c>
      <c r="L50" s="2">
        <f>L35/P45</f>
        <v>7.459951914293207</v>
      </c>
      <c r="N50" t="s">
        <v>348</v>
      </c>
      <c r="R50">
        <v>5.36</v>
      </c>
      <c r="S50">
        <v>6.1</v>
      </c>
    </row>
    <row r="51" spans="1:21" ht="12.75">
      <c r="A51" t="s">
        <v>1198</v>
      </c>
      <c r="B51">
        <f>N20</f>
        <v>900</v>
      </c>
      <c r="D51" t="s">
        <v>361</v>
      </c>
      <c r="H51" s="2">
        <f>H35/P45</f>
        <v>1.0154052390587127</v>
      </c>
      <c r="I51" s="2">
        <f>I35/P45</f>
        <v>1.8649879785733017</v>
      </c>
      <c r="J51" s="2">
        <f>J35/P45</f>
        <v>3.7299759571466033</v>
      </c>
      <c r="K51" s="2">
        <f>K35/P45</f>
        <v>5.594963935719905</v>
      </c>
      <c r="L51" s="2">
        <f>L35/P45</f>
        <v>7.459951914293207</v>
      </c>
      <c r="N51" t="s">
        <v>362</v>
      </c>
      <c r="R51" s="2">
        <f>(R49+R50)/2</f>
        <v>4.44</v>
      </c>
      <c r="U51" s="50" t="s">
        <v>863</v>
      </c>
    </row>
    <row r="52" spans="1:21" ht="12.75">
      <c r="A52" t="s">
        <v>1199</v>
      </c>
      <c r="I52" s="89" t="s">
        <v>667</v>
      </c>
      <c r="U52" s="60" t="s">
        <v>620</v>
      </c>
    </row>
    <row r="53" spans="1:21" ht="12.75">
      <c r="A53" t="s">
        <v>842</v>
      </c>
      <c r="B53" s="10"/>
      <c r="C53" s="10"/>
      <c r="E53" s="90" t="s">
        <v>575</v>
      </c>
      <c r="I53" s="2">
        <f>I32/$I$60</f>
        <v>412.88985098039217</v>
      </c>
      <c r="K53" s="2"/>
      <c r="L53" s="2"/>
      <c r="R53" t="s">
        <v>324</v>
      </c>
      <c r="U53" s="60" t="s">
        <v>619</v>
      </c>
    </row>
    <row r="54" spans="2:21" ht="12.75">
      <c r="B54" s="10">
        <f>F32/24</f>
        <v>17.203743790849675</v>
      </c>
      <c r="C54" t="s">
        <v>1200</v>
      </c>
      <c r="D54" s="60"/>
      <c r="F54" s="50"/>
      <c r="H54" t="s">
        <v>466</v>
      </c>
      <c r="I54" s="2">
        <f>(N20/13*0.9*R49*0.73)+S9</f>
        <v>160.10584615384613</v>
      </c>
      <c r="J54" t="s">
        <v>1170</v>
      </c>
      <c r="K54" s="2">
        <f>I54/0.73</f>
        <v>219.32307692307688</v>
      </c>
      <c r="L54" t="s">
        <v>1171</v>
      </c>
      <c r="P54" t="s">
        <v>325</v>
      </c>
      <c r="R54">
        <v>3.43</v>
      </c>
      <c r="S54" t="s">
        <v>892</v>
      </c>
      <c r="U54" s="60" t="s">
        <v>621</v>
      </c>
    </row>
    <row r="55" spans="9:21" ht="12.75">
      <c r="I55" s="2"/>
      <c r="J55" s="2">
        <f>IF($I$53&gt;I54,0,I54-$I$53)</f>
        <v>0</v>
      </c>
      <c r="K55" s="2">
        <f>IF($I$53&gt;K54,0,K54-$I$53)</f>
        <v>0</v>
      </c>
      <c r="L55" t="s">
        <v>430</v>
      </c>
      <c r="P55" t="s">
        <v>326</v>
      </c>
      <c r="R55">
        <v>5.23</v>
      </c>
      <c r="S55" t="s">
        <v>255</v>
      </c>
      <c r="U55" s="60" t="s">
        <v>622</v>
      </c>
    </row>
    <row r="56" spans="1:21" ht="12.75">
      <c r="A56" t="s">
        <v>820</v>
      </c>
      <c r="G56" t="s">
        <v>1089</v>
      </c>
      <c r="I56" s="2">
        <f>IF(I54&gt;I53,0,I53-I54)</f>
        <v>252.78400482654604</v>
      </c>
      <c r="U56" s="60" t="s">
        <v>623</v>
      </c>
    </row>
    <row r="57" spans="1:21" ht="12.75">
      <c r="A57" t="s">
        <v>821</v>
      </c>
      <c r="U57" s="60" t="s">
        <v>624</v>
      </c>
    </row>
    <row r="58" spans="1:9" ht="12.75">
      <c r="A58" t="s">
        <v>83</v>
      </c>
      <c r="F58">
        <f>N20</f>
        <v>900</v>
      </c>
      <c r="G58" t="s">
        <v>84</v>
      </c>
      <c r="I58" s="2">
        <f>IF(I54&gt;I53,"  OK",(N15/I60)/I56)</f>
        <v>0.8307487657065037</v>
      </c>
    </row>
    <row r="59" spans="1:21" ht="12.75">
      <c r="A59" t="s">
        <v>822</v>
      </c>
      <c r="U59" s="60" t="s">
        <v>4</v>
      </c>
    </row>
    <row r="60" spans="1:21" ht="12.75">
      <c r="A60" t="s">
        <v>823</v>
      </c>
      <c r="H60" s="95" t="s">
        <v>145</v>
      </c>
      <c r="I60">
        <f>1/(N14/100)</f>
        <v>2</v>
      </c>
      <c r="J60" s="50" t="s">
        <v>815</v>
      </c>
      <c r="U60" s="60" t="s">
        <v>5</v>
      </c>
    </row>
    <row r="61" spans="1:23" ht="12.75">
      <c r="A61" t="s">
        <v>824</v>
      </c>
      <c r="G61" s="50" t="s">
        <v>840</v>
      </c>
      <c r="U61" s="60" t="s">
        <v>6</v>
      </c>
      <c r="W61" s="110" t="s">
        <v>8</v>
      </c>
    </row>
    <row r="62" spans="1:21" ht="12.75">
      <c r="A62" t="s">
        <v>231</v>
      </c>
      <c r="U62" t="s">
        <v>7</v>
      </c>
    </row>
    <row r="63" spans="1:23" ht="12.75">
      <c r="A63" t="s">
        <v>232</v>
      </c>
      <c r="E63" s="50" t="s">
        <v>827</v>
      </c>
      <c r="I63" s="2">
        <f>I32/$I$60</f>
        <v>412.88985098039217</v>
      </c>
      <c r="J63" s="22" t="s">
        <v>1122</v>
      </c>
      <c r="N63" t="s">
        <v>472</v>
      </c>
      <c r="W63" s="111">
        <v>45245</v>
      </c>
    </row>
    <row r="64" spans="1:18" ht="12.75">
      <c r="A64" t="s">
        <v>837</v>
      </c>
      <c r="F64" t="s">
        <v>626</v>
      </c>
      <c r="I64" s="2">
        <f>(N20/13*0.9*R50*0.73)+S9</f>
        <v>243.79753846153844</v>
      </c>
      <c r="J64" t="s">
        <v>1170</v>
      </c>
      <c r="K64" s="2">
        <f>I64/0.73</f>
        <v>333.96923076923076</v>
      </c>
      <c r="L64" t="s">
        <v>1171</v>
      </c>
      <c r="P64" t="s">
        <v>474</v>
      </c>
      <c r="R64" t="s">
        <v>475</v>
      </c>
    </row>
    <row r="65" spans="1:21" ht="12.75">
      <c r="A65" t="s">
        <v>838</v>
      </c>
      <c r="J65" s="2">
        <f>IF(I63&gt;I64,0,I64-I63)</f>
        <v>0</v>
      </c>
      <c r="K65" s="2">
        <f>IF(I63&gt;K64,0,K64-I63)</f>
        <v>0</v>
      </c>
      <c r="L65" t="s">
        <v>431</v>
      </c>
      <c r="P65">
        <v>2601</v>
      </c>
      <c r="R65">
        <v>2800</v>
      </c>
      <c r="U65" s="24" t="s">
        <v>75</v>
      </c>
    </row>
    <row r="66" spans="6:21" ht="12.75">
      <c r="F66" t="s">
        <v>389</v>
      </c>
      <c r="I66" s="2">
        <f>IF(I64&gt;I63,0,I63-I64)</f>
        <v>169.09231251885373</v>
      </c>
      <c r="N66" t="s">
        <v>473</v>
      </c>
      <c r="P66" s="2">
        <f>2601/365.25</f>
        <v>7.121149897330596</v>
      </c>
      <c r="R66" s="2">
        <f>2800/365.25</f>
        <v>7.665982203969883</v>
      </c>
      <c r="U66" t="s">
        <v>76</v>
      </c>
    </row>
    <row r="67" spans="1:21" ht="12.75">
      <c r="A67" s="24" t="s">
        <v>85</v>
      </c>
      <c r="K67" s="2">
        <f>(I66/N16)*100</f>
        <v>40.26007440925089</v>
      </c>
      <c r="L67" t="s">
        <v>449</v>
      </c>
      <c r="N67" t="s">
        <v>476</v>
      </c>
      <c r="U67" t="s">
        <v>77</v>
      </c>
    </row>
    <row r="68" spans="1:21" ht="12.75">
      <c r="A68" t="s">
        <v>86</v>
      </c>
      <c r="E68">
        <f>N20</f>
        <v>900</v>
      </c>
      <c r="F68" t="s">
        <v>72</v>
      </c>
      <c r="I68" s="2">
        <f>IF(I64&gt;I63,"  OK",(N16/I60)/I66)</f>
        <v>1.2419251760873817</v>
      </c>
      <c r="N68" t="s">
        <v>477</v>
      </c>
      <c r="S68" t="s">
        <v>478</v>
      </c>
      <c r="U68" t="s">
        <v>78</v>
      </c>
    </row>
    <row r="69" ht="12.75">
      <c r="U69" t="s">
        <v>79</v>
      </c>
    </row>
    <row r="70" spans="1:21" ht="12.75">
      <c r="A70" t="s">
        <v>826</v>
      </c>
      <c r="U70" t="s">
        <v>80</v>
      </c>
    </row>
    <row r="71" ht="12.75">
      <c r="A71" t="s">
        <v>825</v>
      </c>
    </row>
    <row r="72" spans="1:16" ht="12.75">
      <c r="A72" t="s">
        <v>410</v>
      </c>
      <c r="N72">
        <v>1</v>
      </c>
      <c r="P72" s="50" t="s">
        <v>943</v>
      </c>
    </row>
    <row r="73" spans="1:16" ht="12.75">
      <c r="A73" t="s">
        <v>1091</v>
      </c>
      <c r="N73">
        <v>24</v>
      </c>
      <c r="P73" s="50" t="s">
        <v>944</v>
      </c>
    </row>
    <row r="74" ht="12.75">
      <c r="A74" t="s">
        <v>1090</v>
      </c>
    </row>
    <row r="76" spans="1:7" ht="12.75">
      <c r="A76" t="s">
        <v>329</v>
      </c>
      <c r="D76" t="s">
        <v>330</v>
      </c>
      <c r="G76" t="s">
        <v>331</v>
      </c>
    </row>
    <row r="79" spans="1:16" ht="12.75">
      <c r="A79" t="s">
        <v>835</v>
      </c>
      <c r="P79" t="s">
        <v>846</v>
      </c>
    </row>
    <row r="80" spans="1:16" ht="12.75">
      <c r="A80" t="s">
        <v>836</v>
      </c>
      <c r="P80" t="s">
        <v>847</v>
      </c>
    </row>
    <row r="81" spans="1:16" ht="12.75">
      <c r="A81" t="s">
        <v>353</v>
      </c>
      <c r="P81" t="s">
        <v>843</v>
      </c>
    </row>
    <row r="82" ht="12.75">
      <c r="P82" t="s">
        <v>844</v>
      </c>
    </row>
    <row r="83" ht="12.75">
      <c r="P83" t="s">
        <v>845</v>
      </c>
    </row>
    <row r="86" spans="1:2" ht="12.75">
      <c r="A86">
        <f>COUNT(A3:W74)</f>
        <v>434</v>
      </c>
      <c r="B86" t="s">
        <v>813</v>
      </c>
    </row>
    <row r="87" spans="1:2" ht="12.75">
      <c r="A87">
        <f>COUNTBLANK(A3:W74)</f>
        <v>953</v>
      </c>
      <c r="B87" t="s">
        <v>814</v>
      </c>
    </row>
    <row r="88" ht="12.75">
      <c r="A88" t="s">
        <v>20</v>
      </c>
    </row>
  </sheetData>
  <sheetProtection/>
  <conditionalFormatting sqref="N29">
    <cfRule type="expression" priority="1" dxfId="69" stopIfTrue="1">
      <formula>20&gt;(N22*24)</formula>
    </cfRule>
  </conditionalFormatting>
  <conditionalFormatting sqref="N28">
    <cfRule type="expression" priority="2" dxfId="69" stopIfTrue="1">
      <formula>20&gt;(N22*24)</formula>
    </cfRule>
  </conditionalFormatting>
  <conditionalFormatting sqref="N30">
    <cfRule type="expression" priority="3" dxfId="69" stopIfTrue="1">
      <formula>20&gt;(N22*24)</formula>
    </cfRule>
  </conditionalFormatting>
  <conditionalFormatting sqref="N31">
    <cfRule type="expression" priority="4" dxfId="69" stopIfTrue="1">
      <formula>20&gt;(N22*24)</formula>
    </cfRule>
  </conditionalFormatting>
  <conditionalFormatting sqref="I33:L35 I37:L38">
    <cfRule type="cellIs" priority="5" dxfId="0" operator="lessThan" stopIfTrue="1">
      <formula>0</formula>
    </cfRule>
  </conditionalFormatting>
  <conditionalFormatting sqref="N22">
    <cfRule type="cellIs" priority="6" dxfId="69" operator="lessThan" stopIfTrue="1">
      <formula>1</formula>
    </cfRule>
  </conditionalFormatting>
  <conditionalFormatting sqref="N23">
    <cfRule type="cellIs" priority="7" dxfId="69" operator="lessThan" stopIfTrue="1">
      <formula>24</formula>
    </cfRule>
  </conditionalFormatting>
  <conditionalFormatting sqref="H32:L32">
    <cfRule type="cellIs" priority="8" dxfId="4" operator="greaterThan" stopIfTrue="1">
      <formula>$N$15</formula>
    </cfRule>
  </conditionalFormatting>
  <conditionalFormatting sqref="B32:C32">
    <cfRule type="cellIs" priority="9" dxfId="4" operator="greaterThan" stopIfTrue="1">
      <formula>$N$18</formula>
    </cfRule>
  </conditionalFormatting>
  <conditionalFormatting sqref="H41:L46 H49:L49">
    <cfRule type="cellIs" priority="10" dxfId="10" operator="greaterThan" stopIfTrue="1">
      <formula>$R$49</formula>
    </cfRule>
    <cfRule type="cellIs" priority="11" dxfId="0" operator="lessThanOrEqual" stopIfTrue="1">
      <formula>$R$49</formula>
    </cfRule>
  </conditionalFormatting>
  <conditionalFormatting sqref="H50:L50">
    <cfRule type="cellIs" priority="12" dxfId="10" operator="greaterThan" stopIfTrue="1">
      <formula>$R$50</formula>
    </cfRule>
    <cfRule type="cellIs" priority="13" dxfId="0" operator="lessThanOrEqual" stopIfTrue="1">
      <formula>$R$50</formula>
    </cfRule>
  </conditionalFormatting>
  <conditionalFormatting sqref="H51:L51">
    <cfRule type="cellIs" priority="14" dxfId="10" operator="greaterThan" stopIfTrue="1">
      <formula>$R$51</formula>
    </cfRule>
    <cfRule type="cellIs" priority="15" dxfId="0" operator="lessThanOrEqual" stopIfTrue="1">
      <formula>$R$51</formula>
    </cfRule>
  </conditionalFormatting>
  <conditionalFormatting sqref="H47:L47">
    <cfRule type="cellIs" priority="16" dxfId="0" operator="lessThan" stopIfTrue="1">
      <formula>24</formula>
    </cfRule>
    <cfRule type="cellIs" priority="17" dxfId="4" operator="greaterThanOrEqual" stopIfTrue="1">
      <formula>24</formula>
    </cfRule>
  </conditionalFormatting>
  <printOptions/>
  <pageMargins left="0.75" right="0.75" top="1" bottom="1" header="0.5" footer="0.5"/>
  <pageSetup orientation="portrait" r:id="rId1"/>
  <ignoredErrors>
    <ignoredError sqref="J35:L35" formula="1"/>
    <ignoredError sqref="H3 L3" numberStoredAsText="1"/>
  </ignoredErrors>
</worksheet>
</file>

<file path=xl/worksheets/sheet9.xml><?xml version="1.0" encoding="utf-8"?>
<worksheet xmlns="http://schemas.openxmlformats.org/spreadsheetml/2006/main" xmlns:r="http://schemas.openxmlformats.org/officeDocument/2006/relationships">
  <sheetPr>
    <tabColor indexed="13"/>
  </sheetPr>
  <dimension ref="A1:V76"/>
  <sheetViews>
    <sheetView zoomScalePageLayoutView="0" workbookViewId="0" topLeftCell="A1">
      <pane ySplit="2" topLeftCell="A3" activePane="bottomLeft" state="frozen"/>
      <selection pane="topLeft" activeCell="A1" sqref="A1"/>
      <selection pane="bottomLeft" activeCell="T2" sqref="T2"/>
    </sheetView>
  </sheetViews>
  <sheetFormatPr defaultColWidth="9.140625" defaultRowHeight="12.75"/>
  <cols>
    <col min="1" max="1" width="18.28125" style="0" customWidth="1"/>
    <col min="5" max="5" width="8.421875" style="0" customWidth="1"/>
    <col min="6" max="6" width="7.28125" style="0" customWidth="1"/>
    <col min="10" max="10" width="9.421875" style="0" customWidth="1"/>
    <col min="11" max="11" width="8.28125" style="0" customWidth="1"/>
    <col min="12" max="12" width="8.421875" style="0" customWidth="1"/>
    <col min="13" max="13" width="8.57421875" style="0" customWidth="1"/>
    <col min="14" max="14" width="5.7109375" style="0" customWidth="1"/>
    <col min="15" max="15" width="8.28125" style="0" customWidth="1"/>
    <col min="16" max="16" width="2.421875" style="0" customWidth="1"/>
    <col min="18" max="18" width="2.28125" style="0" customWidth="1"/>
    <col min="19" max="19" width="9.421875" style="0" customWidth="1"/>
    <col min="20" max="20" width="10.28125" style="0" customWidth="1"/>
  </cols>
  <sheetData>
    <row r="1" spans="1:20" ht="60">
      <c r="A1" s="18" t="s">
        <v>1172</v>
      </c>
      <c r="B1" s="18" t="s">
        <v>1079</v>
      </c>
      <c r="C1" s="18" t="s">
        <v>170</v>
      </c>
      <c r="D1" s="18" t="s">
        <v>1083</v>
      </c>
      <c r="E1" s="18" t="s">
        <v>1045</v>
      </c>
      <c r="F1" s="18" t="s">
        <v>160</v>
      </c>
      <c r="G1" s="18" t="s">
        <v>382</v>
      </c>
      <c r="H1" s="18" t="s">
        <v>415</v>
      </c>
      <c r="I1" s="18" t="s">
        <v>416</v>
      </c>
      <c r="J1" s="18" t="s">
        <v>417</v>
      </c>
      <c r="K1" s="18" t="s">
        <v>418</v>
      </c>
      <c r="L1" s="18" t="s">
        <v>419</v>
      </c>
      <c r="M1" s="18" t="s">
        <v>377</v>
      </c>
      <c r="O1" s="85" t="s">
        <v>289</v>
      </c>
      <c r="T1" s="72">
        <v>44778</v>
      </c>
    </row>
    <row r="2" spans="1:20" ht="12.75">
      <c r="A2" s="18"/>
      <c r="B2" s="18"/>
      <c r="C2" s="18"/>
      <c r="D2" s="18"/>
      <c r="E2" s="18"/>
      <c r="F2" s="18"/>
      <c r="G2" s="18" t="s">
        <v>380</v>
      </c>
      <c r="H2" s="18"/>
      <c r="I2" s="18"/>
      <c r="J2" s="18"/>
      <c r="K2" s="18"/>
      <c r="L2" s="18"/>
      <c r="M2" s="18" t="s">
        <v>379</v>
      </c>
      <c r="T2" s="72"/>
    </row>
    <row r="3" spans="1:15" ht="12.75">
      <c r="A3" s="29" t="s">
        <v>402</v>
      </c>
      <c r="C3" s="2">
        <f aca="true" t="shared" si="0" ref="C3:C8">B3/($O$17/100)/12</f>
        <v>0</v>
      </c>
      <c r="D3" s="10">
        <v>5</v>
      </c>
      <c r="E3" s="2">
        <f aca="true" t="shared" si="1" ref="E3:E29">C3*D3</f>
        <v>0</v>
      </c>
      <c r="F3" s="4">
        <f aca="true" t="shared" si="2" ref="F3:F8">(B3*D3)/0.9</f>
        <v>0</v>
      </c>
      <c r="G3" s="2">
        <f aca="true" t="shared" si="3" ref="G3:G29">J3*($G$2/24)</f>
        <v>0</v>
      </c>
      <c r="H3" s="2">
        <f aca="true" t="shared" si="4" ref="H3:H29">J3*0.5</f>
        <v>0</v>
      </c>
      <c r="I3" s="2">
        <f aca="true" t="shared" si="5" ref="I3:I29">J3*0.67</f>
        <v>0</v>
      </c>
      <c r="J3" s="2">
        <f aca="true" t="shared" si="6" ref="J3:J29">E3*$U$15</f>
        <v>0</v>
      </c>
      <c r="K3" s="2">
        <f aca="true" t="shared" si="7" ref="K3:K29">J3*2</f>
        <v>0</v>
      </c>
      <c r="L3" s="2">
        <f aca="true" t="shared" si="8" ref="L3:L29">J3*3</f>
        <v>0</v>
      </c>
      <c r="M3" s="2">
        <f aca="true" t="shared" si="9" ref="M3:M29">J3*$M$2</f>
        <v>0</v>
      </c>
      <c r="O3" s="8" t="s">
        <v>295</v>
      </c>
    </row>
    <row r="4" spans="1:15" ht="12.75">
      <c r="A4" s="27" t="s">
        <v>1177</v>
      </c>
      <c r="B4">
        <v>76</v>
      </c>
      <c r="C4" s="2">
        <f t="shared" si="0"/>
        <v>7.037037037037037</v>
      </c>
      <c r="D4" s="10">
        <v>24</v>
      </c>
      <c r="E4" s="2">
        <f t="shared" si="1"/>
        <v>168.88888888888889</v>
      </c>
      <c r="F4" s="4">
        <f t="shared" si="2"/>
        <v>2026.6666666666665</v>
      </c>
      <c r="G4" s="2">
        <f t="shared" si="3"/>
        <v>112.59259259259258</v>
      </c>
      <c r="H4" s="2">
        <f t="shared" si="4"/>
        <v>168.88888888888889</v>
      </c>
      <c r="I4" s="2">
        <f t="shared" si="5"/>
        <v>226.31111111111113</v>
      </c>
      <c r="J4" s="2">
        <f t="shared" si="6"/>
        <v>337.77777777777777</v>
      </c>
      <c r="K4" s="2">
        <f t="shared" si="7"/>
        <v>675.5555555555555</v>
      </c>
      <c r="L4" s="2">
        <f t="shared" si="8"/>
        <v>1013.3333333333333</v>
      </c>
      <c r="M4" s="2">
        <f t="shared" si="9"/>
        <v>2364.4444444444443</v>
      </c>
      <c r="O4" s="8" t="s">
        <v>297</v>
      </c>
    </row>
    <row r="5" spans="1:15" ht="12.75">
      <c r="A5" t="s">
        <v>301</v>
      </c>
      <c r="B5">
        <v>81</v>
      </c>
      <c r="C5" s="2">
        <f t="shared" si="0"/>
        <v>7.5</v>
      </c>
      <c r="D5" s="10">
        <v>8</v>
      </c>
      <c r="E5" s="2">
        <f t="shared" si="1"/>
        <v>60</v>
      </c>
      <c r="F5" s="4">
        <f t="shared" si="2"/>
        <v>720</v>
      </c>
      <c r="G5" s="2">
        <f t="shared" si="3"/>
        <v>40</v>
      </c>
      <c r="H5" s="2">
        <f t="shared" si="4"/>
        <v>60</v>
      </c>
      <c r="I5" s="2">
        <f t="shared" si="5"/>
        <v>80.4</v>
      </c>
      <c r="J5" s="2">
        <f t="shared" si="6"/>
        <v>120</v>
      </c>
      <c r="K5" s="2">
        <f t="shared" si="7"/>
        <v>240</v>
      </c>
      <c r="L5" s="2">
        <f t="shared" si="8"/>
        <v>360</v>
      </c>
      <c r="M5" s="2">
        <f t="shared" si="9"/>
        <v>840</v>
      </c>
      <c r="O5" s="8" t="s">
        <v>118</v>
      </c>
    </row>
    <row r="6" spans="1:15" ht="12.75">
      <c r="A6" s="28" t="s">
        <v>531</v>
      </c>
      <c r="C6" s="2">
        <f t="shared" si="0"/>
        <v>0</v>
      </c>
      <c r="D6" s="10">
        <v>24</v>
      </c>
      <c r="E6" s="2">
        <f t="shared" si="1"/>
        <v>0</v>
      </c>
      <c r="F6" s="4">
        <f t="shared" si="2"/>
        <v>0</v>
      </c>
      <c r="G6" s="2">
        <f t="shared" si="3"/>
        <v>0</v>
      </c>
      <c r="H6" s="2">
        <f t="shared" si="4"/>
        <v>0</v>
      </c>
      <c r="I6" s="2">
        <f t="shared" si="5"/>
        <v>0</v>
      </c>
      <c r="J6" s="2">
        <f t="shared" si="6"/>
        <v>0</v>
      </c>
      <c r="K6" s="2">
        <f t="shared" si="7"/>
        <v>0</v>
      </c>
      <c r="L6" s="2">
        <f t="shared" si="8"/>
        <v>0</v>
      </c>
      <c r="M6" s="2">
        <f t="shared" si="9"/>
        <v>0</v>
      </c>
      <c r="O6" s="8" t="s">
        <v>694</v>
      </c>
    </row>
    <row r="7" spans="1:15" ht="12.75">
      <c r="A7" t="s">
        <v>1121</v>
      </c>
      <c r="C7" s="2">
        <f t="shared" si="0"/>
        <v>0</v>
      </c>
      <c r="D7" s="10">
        <v>24</v>
      </c>
      <c r="E7" s="2">
        <f t="shared" si="1"/>
        <v>0</v>
      </c>
      <c r="F7" s="4">
        <f t="shared" si="2"/>
        <v>0</v>
      </c>
      <c r="G7" s="2">
        <f t="shared" si="3"/>
        <v>0</v>
      </c>
      <c r="H7" s="2">
        <f t="shared" si="4"/>
        <v>0</v>
      </c>
      <c r="I7" s="2">
        <f t="shared" si="5"/>
        <v>0</v>
      </c>
      <c r="J7" s="2">
        <f t="shared" si="6"/>
        <v>0</v>
      </c>
      <c r="K7" s="2">
        <f t="shared" si="7"/>
        <v>0</v>
      </c>
      <c r="L7" s="2">
        <f t="shared" si="8"/>
        <v>0</v>
      </c>
      <c r="M7" s="2">
        <f t="shared" si="9"/>
        <v>0</v>
      </c>
      <c r="O7" s="8" t="s">
        <v>1157</v>
      </c>
    </row>
    <row r="8" spans="1:21" ht="12.75">
      <c r="A8" t="s">
        <v>1118</v>
      </c>
      <c r="C8" s="2">
        <f t="shared" si="0"/>
        <v>0</v>
      </c>
      <c r="D8" s="10">
        <v>24</v>
      </c>
      <c r="E8" s="2">
        <f t="shared" si="1"/>
        <v>0</v>
      </c>
      <c r="F8" s="4">
        <f t="shared" si="2"/>
        <v>0</v>
      </c>
      <c r="G8" s="2">
        <f t="shared" si="3"/>
        <v>0</v>
      </c>
      <c r="H8" s="2">
        <f t="shared" si="4"/>
        <v>0</v>
      </c>
      <c r="I8" s="2">
        <f t="shared" si="5"/>
        <v>0</v>
      </c>
      <c r="J8" s="2">
        <f t="shared" si="6"/>
        <v>0</v>
      </c>
      <c r="K8" s="2">
        <f t="shared" si="7"/>
        <v>0</v>
      </c>
      <c r="L8" s="2">
        <f t="shared" si="8"/>
        <v>0</v>
      </c>
      <c r="M8" s="2">
        <f t="shared" si="9"/>
        <v>0</v>
      </c>
      <c r="O8" s="8" t="s">
        <v>390</v>
      </c>
      <c r="T8" s="50" t="s">
        <v>141</v>
      </c>
      <c r="U8" t="s">
        <v>887</v>
      </c>
    </row>
    <row r="9" spans="1:21" ht="12.75">
      <c r="A9" s="28" t="s">
        <v>1082</v>
      </c>
      <c r="B9" t="s">
        <v>1084</v>
      </c>
      <c r="C9" s="14">
        <f>IF(B31&gt;80,MAX(0,(1-B31/400)*O19),O19)</f>
        <v>0.4172</v>
      </c>
      <c r="D9" s="10">
        <v>24</v>
      </c>
      <c r="E9" s="2">
        <f t="shared" si="1"/>
        <v>10.0128</v>
      </c>
      <c r="F9" s="4">
        <f>E9*12.6</f>
        <v>126.16128</v>
      </c>
      <c r="G9" s="2">
        <f t="shared" si="3"/>
        <v>6.6752</v>
      </c>
      <c r="H9" s="2">
        <f t="shared" si="4"/>
        <v>10.0128</v>
      </c>
      <c r="I9" s="2">
        <f t="shared" si="5"/>
        <v>13.417152000000002</v>
      </c>
      <c r="J9" s="2">
        <f t="shared" si="6"/>
        <v>20.0256</v>
      </c>
      <c r="K9" s="2">
        <f t="shared" si="7"/>
        <v>40.0512</v>
      </c>
      <c r="L9" s="2">
        <f t="shared" si="8"/>
        <v>60.076800000000006</v>
      </c>
      <c r="M9" s="2">
        <f t="shared" si="9"/>
        <v>140.1792</v>
      </c>
      <c r="O9" s="8" t="s">
        <v>273</v>
      </c>
      <c r="T9" s="60"/>
      <c r="U9">
        <f>T9*12</f>
        <v>0</v>
      </c>
    </row>
    <row r="10" spans="1:15" ht="12.75">
      <c r="A10" t="s">
        <v>250</v>
      </c>
      <c r="B10" t="s">
        <v>1084</v>
      </c>
      <c r="C10" s="2"/>
      <c r="D10" s="10">
        <v>24</v>
      </c>
      <c r="E10" s="2">
        <f t="shared" si="1"/>
        <v>0</v>
      </c>
      <c r="F10" s="4">
        <f>E10*12.6</f>
        <v>0</v>
      </c>
      <c r="G10" s="2">
        <f t="shared" si="3"/>
        <v>0</v>
      </c>
      <c r="H10" s="2">
        <f t="shared" si="4"/>
        <v>0</v>
      </c>
      <c r="I10" s="2">
        <f t="shared" si="5"/>
        <v>0</v>
      </c>
      <c r="J10" s="2">
        <f t="shared" si="6"/>
        <v>0</v>
      </c>
      <c r="K10" s="2">
        <f t="shared" si="7"/>
        <v>0</v>
      </c>
      <c r="L10" s="2">
        <f t="shared" si="8"/>
        <v>0</v>
      </c>
      <c r="M10" s="2">
        <f t="shared" si="9"/>
        <v>0</v>
      </c>
      <c r="O10" s="8" t="s">
        <v>271</v>
      </c>
    </row>
    <row r="11" spans="1:15" ht="12.75">
      <c r="A11" s="27" t="s">
        <v>750</v>
      </c>
      <c r="B11">
        <v>16</v>
      </c>
      <c r="C11" s="2">
        <f aca="true" t="shared" si="10" ref="C11:C29">B11/($O$17/100)/12</f>
        <v>1.4814814814814816</v>
      </c>
      <c r="D11" s="10">
        <v>4</v>
      </c>
      <c r="E11" s="2">
        <f t="shared" si="1"/>
        <v>5.9259259259259265</v>
      </c>
      <c r="F11" s="4">
        <f aca="true" t="shared" si="11" ref="F11:F29">(B11*D11)/0.9</f>
        <v>71.11111111111111</v>
      </c>
      <c r="G11" s="2">
        <f t="shared" si="3"/>
        <v>3.9506172839506175</v>
      </c>
      <c r="H11" s="2">
        <f t="shared" si="4"/>
        <v>5.9259259259259265</v>
      </c>
      <c r="I11" s="2">
        <f t="shared" si="5"/>
        <v>7.9407407407407415</v>
      </c>
      <c r="J11" s="2">
        <f t="shared" si="6"/>
        <v>11.851851851851853</v>
      </c>
      <c r="K11" s="2">
        <f t="shared" si="7"/>
        <v>23.703703703703706</v>
      </c>
      <c r="L11" s="2">
        <f t="shared" si="8"/>
        <v>35.55555555555556</v>
      </c>
      <c r="M11" s="2">
        <f t="shared" si="9"/>
        <v>82.96296296296298</v>
      </c>
      <c r="O11" s="8" t="s">
        <v>276</v>
      </c>
    </row>
    <row r="12" spans="1:15" ht="12.75">
      <c r="A12" t="s">
        <v>1119</v>
      </c>
      <c r="C12" s="2">
        <f t="shared" si="10"/>
        <v>0</v>
      </c>
      <c r="D12" s="10">
        <v>4</v>
      </c>
      <c r="E12" s="2">
        <f t="shared" si="1"/>
        <v>0</v>
      </c>
      <c r="F12" s="4">
        <f t="shared" si="11"/>
        <v>0</v>
      </c>
      <c r="G12" s="2">
        <f t="shared" si="3"/>
        <v>0</v>
      </c>
      <c r="H12" s="2">
        <f t="shared" si="4"/>
        <v>0</v>
      </c>
      <c r="I12" s="2">
        <f t="shared" si="5"/>
        <v>0</v>
      </c>
      <c r="J12" s="2">
        <f t="shared" si="6"/>
        <v>0</v>
      </c>
      <c r="K12" s="2">
        <f t="shared" si="7"/>
        <v>0</v>
      </c>
      <c r="L12" s="2">
        <f t="shared" si="8"/>
        <v>0</v>
      </c>
      <c r="M12" s="2">
        <f t="shared" si="9"/>
        <v>0</v>
      </c>
      <c r="O12" s="8" t="s">
        <v>294</v>
      </c>
    </row>
    <row r="13" spans="1:15" ht="12.75">
      <c r="A13" s="27" t="s">
        <v>168</v>
      </c>
      <c r="B13">
        <v>9</v>
      </c>
      <c r="C13" s="2">
        <f t="shared" si="10"/>
        <v>0.8333333333333334</v>
      </c>
      <c r="D13" s="10">
        <v>6</v>
      </c>
      <c r="E13" s="2">
        <f t="shared" si="1"/>
        <v>5</v>
      </c>
      <c r="F13" s="4">
        <f t="shared" si="11"/>
        <v>60</v>
      </c>
      <c r="G13" s="2">
        <f t="shared" si="3"/>
        <v>3.333333333333333</v>
      </c>
      <c r="H13" s="2">
        <f t="shared" si="4"/>
        <v>5</v>
      </c>
      <c r="I13" s="2">
        <f t="shared" si="5"/>
        <v>6.7</v>
      </c>
      <c r="J13" s="2">
        <f t="shared" si="6"/>
        <v>10</v>
      </c>
      <c r="K13" s="2">
        <f t="shared" si="7"/>
        <v>20</v>
      </c>
      <c r="L13" s="2">
        <f t="shared" si="8"/>
        <v>30</v>
      </c>
      <c r="M13" s="2">
        <f t="shared" si="9"/>
        <v>70</v>
      </c>
      <c r="O13" s="8" t="s">
        <v>298</v>
      </c>
    </row>
    <row r="14" spans="1:20" ht="12.75">
      <c r="A14" s="27" t="s">
        <v>169</v>
      </c>
      <c r="B14">
        <v>1.4</v>
      </c>
      <c r="C14" s="2">
        <f t="shared" si="10"/>
        <v>0.12962962962962962</v>
      </c>
      <c r="D14" s="10">
        <v>24</v>
      </c>
      <c r="E14" s="2">
        <f t="shared" si="1"/>
        <v>3.1111111111111107</v>
      </c>
      <c r="F14" s="4">
        <f t="shared" si="11"/>
        <v>37.33333333333333</v>
      </c>
      <c r="G14" s="2">
        <f t="shared" si="3"/>
        <v>2.0740740740740735</v>
      </c>
      <c r="H14" s="2">
        <f t="shared" si="4"/>
        <v>3.1111111111111107</v>
      </c>
      <c r="I14" s="2">
        <f t="shared" si="5"/>
        <v>4.168888888888889</v>
      </c>
      <c r="J14" s="2">
        <f t="shared" si="6"/>
        <v>6.222222222222221</v>
      </c>
      <c r="K14" s="2">
        <f t="shared" si="7"/>
        <v>12.444444444444443</v>
      </c>
      <c r="L14" s="2">
        <f t="shared" si="8"/>
        <v>18.666666666666664</v>
      </c>
      <c r="M14" s="2">
        <f t="shared" si="9"/>
        <v>43.55555555555555</v>
      </c>
      <c r="T14" s="56" t="s">
        <v>535</v>
      </c>
    </row>
    <row r="15" spans="1:22" ht="12.75">
      <c r="A15" t="s">
        <v>58</v>
      </c>
      <c r="C15" s="2">
        <f t="shared" si="10"/>
        <v>0</v>
      </c>
      <c r="D15" s="10">
        <v>24</v>
      </c>
      <c r="E15" s="2">
        <f t="shared" si="1"/>
        <v>0</v>
      </c>
      <c r="F15" s="4">
        <f t="shared" si="11"/>
        <v>0</v>
      </c>
      <c r="G15" s="2">
        <f t="shared" si="3"/>
        <v>0</v>
      </c>
      <c r="H15" s="2">
        <f t="shared" si="4"/>
        <v>0</v>
      </c>
      <c r="I15" s="2">
        <f t="shared" si="5"/>
        <v>0</v>
      </c>
      <c r="J15" s="2">
        <f t="shared" si="6"/>
        <v>0</v>
      </c>
      <c r="K15" s="2">
        <f t="shared" si="7"/>
        <v>0</v>
      </c>
      <c r="L15" s="2">
        <f t="shared" si="8"/>
        <v>0</v>
      </c>
      <c r="M15" s="2">
        <f t="shared" si="9"/>
        <v>0</v>
      </c>
      <c r="O15" s="50">
        <v>50</v>
      </c>
      <c r="P15" s="8" t="s">
        <v>391</v>
      </c>
      <c r="T15">
        <f>T16/U15</f>
        <v>2520</v>
      </c>
      <c r="U15">
        <f>1/(O15/100)</f>
        <v>2</v>
      </c>
      <c r="V15" t="s">
        <v>261</v>
      </c>
    </row>
    <row r="16" spans="1:20" ht="12.75">
      <c r="A16" t="s">
        <v>1102</v>
      </c>
      <c r="C16" s="2">
        <f t="shared" si="10"/>
        <v>0</v>
      </c>
      <c r="D16" s="10">
        <v>0.5</v>
      </c>
      <c r="E16" s="2">
        <f t="shared" si="1"/>
        <v>0</v>
      </c>
      <c r="F16" s="4">
        <f t="shared" si="11"/>
        <v>0</v>
      </c>
      <c r="G16" s="2">
        <f t="shared" si="3"/>
        <v>0</v>
      </c>
      <c r="H16" s="2">
        <f t="shared" si="4"/>
        <v>0</v>
      </c>
      <c r="I16" s="2">
        <f t="shared" si="5"/>
        <v>0</v>
      </c>
      <c r="J16" s="2">
        <f t="shared" si="6"/>
        <v>0</v>
      </c>
      <c r="K16" s="2">
        <f t="shared" si="7"/>
        <v>0</v>
      </c>
      <c r="L16" s="2">
        <f t="shared" si="8"/>
        <v>0</v>
      </c>
      <c r="M16" s="2">
        <f t="shared" si="9"/>
        <v>0</v>
      </c>
      <c r="O16" s="13">
        <v>420</v>
      </c>
      <c r="P16" s="12" t="s">
        <v>534</v>
      </c>
      <c r="T16">
        <f>O16*12</f>
        <v>5040</v>
      </c>
    </row>
    <row r="17" spans="1:20" ht="12.75">
      <c r="A17" t="s">
        <v>60</v>
      </c>
      <c r="C17" s="2">
        <f t="shared" si="10"/>
        <v>0</v>
      </c>
      <c r="D17" s="10">
        <v>24</v>
      </c>
      <c r="E17" s="2">
        <f t="shared" si="1"/>
        <v>0</v>
      </c>
      <c r="F17" s="4">
        <f t="shared" si="11"/>
        <v>0</v>
      </c>
      <c r="G17" s="2">
        <f t="shared" si="3"/>
        <v>0</v>
      </c>
      <c r="H17" s="2">
        <f t="shared" si="4"/>
        <v>0</v>
      </c>
      <c r="I17" s="2">
        <f t="shared" si="5"/>
        <v>0</v>
      </c>
      <c r="J17" s="2">
        <f t="shared" si="6"/>
        <v>0</v>
      </c>
      <c r="K17" s="2">
        <f t="shared" si="7"/>
        <v>0</v>
      </c>
      <c r="L17" s="2">
        <f t="shared" si="8"/>
        <v>0</v>
      </c>
      <c r="M17" s="2">
        <f t="shared" si="9"/>
        <v>0</v>
      </c>
      <c r="O17" s="16">
        <v>90</v>
      </c>
      <c r="P17" s="12" t="s">
        <v>42</v>
      </c>
      <c r="T17" t="s">
        <v>251</v>
      </c>
    </row>
    <row r="18" spans="1:20" ht="12.75">
      <c r="A18" t="s">
        <v>1103</v>
      </c>
      <c r="C18" s="2">
        <f t="shared" si="10"/>
        <v>0</v>
      </c>
      <c r="D18" s="10">
        <v>0.1</v>
      </c>
      <c r="E18" s="2">
        <f t="shared" si="1"/>
        <v>0</v>
      </c>
      <c r="F18" s="4">
        <f t="shared" si="11"/>
        <v>0</v>
      </c>
      <c r="G18" s="2">
        <f t="shared" si="3"/>
        <v>0</v>
      </c>
      <c r="H18" s="2">
        <f t="shared" si="4"/>
        <v>0</v>
      </c>
      <c r="I18" s="2">
        <f t="shared" si="5"/>
        <v>0</v>
      </c>
      <c r="J18" s="2">
        <f t="shared" si="6"/>
        <v>0</v>
      </c>
      <c r="K18" s="2">
        <f t="shared" si="7"/>
        <v>0</v>
      </c>
      <c r="L18" s="2">
        <f t="shared" si="8"/>
        <v>0</v>
      </c>
      <c r="M18" s="2">
        <f t="shared" si="9"/>
        <v>0</v>
      </c>
      <c r="O18" s="16">
        <v>2000</v>
      </c>
      <c r="P18" s="8" t="s">
        <v>177</v>
      </c>
      <c r="T18" t="s">
        <v>252</v>
      </c>
    </row>
    <row r="19" spans="1:16" ht="12.75">
      <c r="A19" t="s">
        <v>717</v>
      </c>
      <c r="C19" s="2">
        <f t="shared" si="10"/>
        <v>0</v>
      </c>
      <c r="D19" s="10">
        <v>24</v>
      </c>
      <c r="E19" s="2">
        <f t="shared" si="1"/>
        <v>0</v>
      </c>
      <c r="F19" s="4">
        <f t="shared" si="11"/>
        <v>0</v>
      </c>
      <c r="G19" s="2">
        <f t="shared" si="3"/>
        <v>0</v>
      </c>
      <c r="H19" s="2">
        <f t="shared" si="4"/>
        <v>0</v>
      </c>
      <c r="I19" s="2">
        <f t="shared" si="5"/>
        <v>0</v>
      </c>
      <c r="J19" s="2">
        <f t="shared" si="6"/>
        <v>0</v>
      </c>
      <c r="K19" s="2">
        <f t="shared" si="7"/>
        <v>0</v>
      </c>
      <c r="L19" s="2">
        <f t="shared" si="8"/>
        <v>0</v>
      </c>
      <c r="M19" s="2">
        <f t="shared" si="9"/>
        <v>0</v>
      </c>
      <c r="O19" s="61">
        <v>0.8</v>
      </c>
      <c r="P19" s="8" t="s">
        <v>1064</v>
      </c>
    </row>
    <row r="20" spans="1:16" ht="12.75">
      <c r="A20" t="s">
        <v>833</v>
      </c>
      <c r="C20" s="2">
        <f t="shared" si="10"/>
        <v>0</v>
      </c>
      <c r="D20" s="10">
        <f>(T35*((T34-T36)*2))/100</f>
        <v>3.36</v>
      </c>
      <c r="E20" s="2">
        <f t="shared" si="1"/>
        <v>0</v>
      </c>
      <c r="F20" s="4">
        <f t="shared" si="11"/>
        <v>0</v>
      </c>
      <c r="G20" s="2">
        <f t="shared" si="3"/>
        <v>0</v>
      </c>
      <c r="H20" s="2">
        <f t="shared" si="4"/>
        <v>0</v>
      </c>
      <c r="I20" s="2">
        <f t="shared" si="5"/>
        <v>0</v>
      </c>
      <c r="J20" s="2">
        <f t="shared" si="6"/>
        <v>0</v>
      </c>
      <c r="K20" s="2">
        <f t="shared" si="7"/>
        <v>0</v>
      </c>
      <c r="L20" s="2">
        <f t="shared" si="8"/>
        <v>0</v>
      </c>
      <c r="M20" s="2">
        <f t="shared" si="9"/>
        <v>0</v>
      </c>
      <c r="P20" s="8"/>
    </row>
    <row r="21" spans="1:16" ht="12.75">
      <c r="A21" s="27" t="s">
        <v>1146</v>
      </c>
      <c r="B21">
        <v>8</v>
      </c>
      <c r="C21" s="2">
        <f t="shared" si="10"/>
        <v>0.7407407407407408</v>
      </c>
      <c r="D21" s="10">
        <v>2</v>
      </c>
      <c r="E21" s="2">
        <f t="shared" si="1"/>
        <v>1.4814814814814816</v>
      </c>
      <c r="F21" s="4">
        <f t="shared" si="11"/>
        <v>17.77777777777778</v>
      </c>
      <c r="G21" s="2">
        <f t="shared" si="3"/>
        <v>0.9876543209876544</v>
      </c>
      <c r="H21" s="2">
        <f t="shared" si="4"/>
        <v>1.4814814814814816</v>
      </c>
      <c r="I21" s="2">
        <f t="shared" si="5"/>
        <v>1.9851851851851854</v>
      </c>
      <c r="J21" s="2">
        <f t="shared" si="6"/>
        <v>2.9629629629629632</v>
      </c>
      <c r="K21" s="2">
        <f t="shared" si="7"/>
        <v>5.9259259259259265</v>
      </c>
      <c r="L21" s="2">
        <f t="shared" si="8"/>
        <v>8.88888888888889</v>
      </c>
      <c r="M21" s="2">
        <f t="shared" si="9"/>
        <v>20.740740740740744</v>
      </c>
      <c r="O21" s="7">
        <f>O16/2/(J31/2)</f>
        <v>0.8254061347561258</v>
      </c>
      <c r="P21" s="6" t="s">
        <v>751</v>
      </c>
    </row>
    <row r="22" spans="1:16" ht="12.75">
      <c r="A22" t="s">
        <v>162</v>
      </c>
      <c r="C22" s="2">
        <f t="shared" si="10"/>
        <v>0</v>
      </c>
      <c r="D22" s="10">
        <v>24</v>
      </c>
      <c r="E22" s="2">
        <f t="shared" si="1"/>
        <v>0</v>
      </c>
      <c r="F22" s="4">
        <f t="shared" si="11"/>
        <v>0</v>
      </c>
      <c r="G22" s="2">
        <f t="shared" si="3"/>
        <v>0</v>
      </c>
      <c r="H22" s="2">
        <f t="shared" si="4"/>
        <v>0</v>
      </c>
      <c r="I22" s="2">
        <f t="shared" si="5"/>
        <v>0</v>
      </c>
      <c r="J22" s="2">
        <f t="shared" si="6"/>
        <v>0</v>
      </c>
      <c r="K22" s="2">
        <f t="shared" si="7"/>
        <v>0</v>
      </c>
      <c r="L22" s="2">
        <f t="shared" si="8"/>
        <v>0</v>
      </c>
      <c r="M22" s="2">
        <f t="shared" si="9"/>
        <v>0</v>
      </c>
      <c r="O22" s="5">
        <f>O21*24</f>
        <v>19.809747234147018</v>
      </c>
      <c r="P22" s="6" t="s">
        <v>752</v>
      </c>
    </row>
    <row r="23" spans="1:16" ht="12.75">
      <c r="A23" t="s">
        <v>164</v>
      </c>
      <c r="C23" s="2">
        <f t="shared" si="10"/>
        <v>0</v>
      </c>
      <c r="D23" s="10">
        <v>0.1</v>
      </c>
      <c r="E23" s="2">
        <f t="shared" si="1"/>
        <v>0</v>
      </c>
      <c r="F23" s="4">
        <f t="shared" si="11"/>
        <v>0</v>
      </c>
      <c r="G23" s="2">
        <f t="shared" si="3"/>
        <v>0</v>
      </c>
      <c r="H23" s="2">
        <f t="shared" si="4"/>
        <v>0</v>
      </c>
      <c r="I23" s="2">
        <f t="shared" si="5"/>
        <v>0</v>
      </c>
      <c r="J23" s="2">
        <f t="shared" si="6"/>
        <v>0</v>
      </c>
      <c r="K23" s="2">
        <f t="shared" si="7"/>
        <v>0</v>
      </c>
      <c r="L23" s="2">
        <f t="shared" si="8"/>
        <v>0</v>
      </c>
      <c r="M23" s="2">
        <f t="shared" si="9"/>
        <v>0</v>
      </c>
      <c r="O23" s="5">
        <f>J46</f>
        <v>1.2416658535302803</v>
      </c>
      <c r="P23" s="6" t="s">
        <v>639</v>
      </c>
    </row>
    <row r="24" spans="1:16" ht="12.75">
      <c r="A24" t="s">
        <v>888</v>
      </c>
      <c r="C24" s="2">
        <f t="shared" si="10"/>
        <v>0</v>
      </c>
      <c r="D24" s="10">
        <v>2</v>
      </c>
      <c r="E24" s="2">
        <f t="shared" si="1"/>
        <v>0</v>
      </c>
      <c r="F24" s="4">
        <f t="shared" si="11"/>
        <v>0</v>
      </c>
      <c r="G24" s="2">
        <f t="shared" si="3"/>
        <v>0</v>
      </c>
      <c r="H24" s="2">
        <f t="shared" si="4"/>
        <v>0</v>
      </c>
      <c r="I24" s="2">
        <f t="shared" si="5"/>
        <v>0</v>
      </c>
      <c r="J24" s="2">
        <f t="shared" si="6"/>
        <v>0</v>
      </c>
      <c r="K24" s="2">
        <f t="shared" si="7"/>
        <v>0</v>
      </c>
      <c r="L24" s="2">
        <f t="shared" si="8"/>
        <v>0</v>
      </c>
      <c r="M24" s="2">
        <f t="shared" si="9"/>
        <v>0</v>
      </c>
      <c r="P24" s="6" t="s">
        <v>161</v>
      </c>
    </row>
    <row r="25" spans="1:19" ht="12.75">
      <c r="A25" t="s">
        <v>1013</v>
      </c>
      <c r="C25" s="2">
        <f t="shared" si="10"/>
        <v>0</v>
      </c>
      <c r="D25" s="10">
        <v>8</v>
      </c>
      <c r="E25" s="2">
        <f t="shared" si="1"/>
        <v>0</v>
      </c>
      <c r="F25" s="4">
        <f t="shared" si="11"/>
        <v>0</v>
      </c>
      <c r="G25" s="2">
        <f t="shared" si="3"/>
        <v>0</v>
      </c>
      <c r="H25" s="2">
        <f t="shared" si="4"/>
        <v>0</v>
      </c>
      <c r="I25" s="2">
        <f t="shared" si="5"/>
        <v>0</v>
      </c>
      <c r="J25" s="2">
        <f t="shared" si="6"/>
        <v>0</v>
      </c>
      <c r="K25" s="2">
        <f t="shared" si="7"/>
        <v>0</v>
      </c>
      <c r="L25" s="2">
        <f t="shared" si="8"/>
        <v>0</v>
      </c>
      <c r="M25" s="2">
        <f t="shared" si="9"/>
        <v>0</v>
      </c>
      <c r="Q25" s="8" t="s">
        <v>760</v>
      </c>
      <c r="S25">
        <f>T9</f>
        <v>0</v>
      </c>
    </row>
    <row r="26" spans="1:20" ht="12.75">
      <c r="A26" t="s">
        <v>1148</v>
      </c>
      <c r="C26" s="2">
        <f t="shared" si="10"/>
        <v>0</v>
      </c>
      <c r="D26" s="10">
        <v>0</v>
      </c>
      <c r="E26" s="2">
        <f t="shared" si="1"/>
        <v>0</v>
      </c>
      <c r="F26" s="4">
        <f t="shared" si="11"/>
        <v>0</v>
      </c>
      <c r="G26" s="2">
        <f t="shared" si="3"/>
        <v>0</v>
      </c>
      <c r="H26" s="2">
        <f t="shared" si="4"/>
        <v>0</v>
      </c>
      <c r="I26" s="2">
        <f t="shared" si="5"/>
        <v>0</v>
      </c>
      <c r="J26" s="2">
        <f t="shared" si="6"/>
        <v>0</v>
      </c>
      <c r="K26" s="2">
        <f t="shared" si="7"/>
        <v>0</v>
      </c>
      <c r="L26" s="2">
        <f t="shared" si="8"/>
        <v>0</v>
      </c>
      <c r="M26" s="2">
        <f t="shared" si="9"/>
        <v>0</v>
      </c>
      <c r="P26" s="6" t="s">
        <v>438</v>
      </c>
      <c r="S26" s="76">
        <f>D53</f>
        <v>1100</v>
      </c>
      <c r="T26" s="8" t="s">
        <v>1167</v>
      </c>
    </row>
    <row r="27" spans="1:21" ht="12.75">
      <c r="A27" t="s">
        <v>1156</v>
      </c>
      <c r="C27" s="2">
        <f t="shared" si="10"/>
        <v>0</v>
      </c>
      <c r="D27" s="10">
        <v>0</v>
      </c>
      <c r="E27" s="2">
        <f t="shared" si="1"/>
        <v>0</v>
      </c>
      <c r="F27" s="4">
        <f t="shared" si="11"/>
        <v>0</v>
      </c>
      <c r="G27" s="2">
        <f t="shared" si="3"/>
        <v>0</v>
      </c>
      <c r="H27" s="2">
        <f t="shared" si="4"/>
        <v>0</v>
      </c>
      <c r="I27" s="2">
        <f t="shared" si="5"/>
        <v>0</v>
      </c>
      <c r="J27" s="2">
        <f t="shared" si="6"/>
        <v>0</v>
      </c>
      <c r="K27" s="2">
        <f t="shared" si="7"/>
        <v>0</v>
      </c>
      <c r="L27" s="2">
        <f t="shared" si="8"/>
        <v>0</v>
      </c>
      <c r="M27" s="2">
        <f t="shared" si="9"/>
        <v>0</v>
      </c>
      <c r="O27" s="32">
        <f>IF(J57&gt;120,"  OK",J57)</f>
        <v>3.5753636403358207</v>
      </c>
      <c r="P27" s="6" t="s">
        <v>1165</v>
      </c>
      <c r="T27" s="4">
        <f>(S26*S48)</f>
        <v>3872</v>
      </c>
      <c r="U27" t="s">
        <v>887</v>
      </c>
    </row>
    <row r="28" spans="1:16" ht="12.75">
      <c r="A28" t="s">
        <v>1156</v>
      </c>
      <c r="C28" s="2">
        <f t="shared" si="10"/>
        <v>0</v>
      </c>
      <c r="D28" s="10">
        <v>0</v>
      </c>
      <c r="E28" s="2">
        <f t="shared" si="1"/>
        <v>0</v>
      </c>
      <c r="F28" s="4">
        <f t="shared" si="11"/>
        <v>0</v>
      </c>
      <c r="G28" s="2">
        <f t="shared" si="3"/>
        <v>0</v>
      </c>
      <c r="H28" s="2">
        <f t="shared" si="4"/>
        <v>0</v>
      </c>
      <c r="I28" s="2">
        <f t="shared" si="5"/>
        <v>0</v>
      </c>
      <c r="J28" s="2">
        <f t="shared" si="6"/>
        <v>0</v>
      </c>
      <c r="K28" s="2">
        <f t="shared" si="7"/>
        <v>0</v>
      </c>
      <c r="L28" s="2">
        <f t="shared" si="8"/>
        <v>0</v>
      </c>
      <c r="M28" s="2">
        <f t="shared" si="9"/>
        <v>0</v>
      </c>
      <c r="O28" s="73">
        <f>IF(O27="  OK","  OK",O27*24)</f>
        <v>85.80872736805969</v>
      </c>
      <c r="P28" s="6" t="s">
        <v>1163</v>
      </c>
    </row>
    <row r="29" spans="1:21" ht="12.75">
      <c r="A29" t="s">
        <v>1156</v>
      </c>
      <c r="C29" s="2">
        <f t="shared" si="10"/>
        <v>0</v>
      </c>
      <c r="D29" s="10">
        <v>0</v>
      </c>
      <c r="E29" s="2">
        <f t="shared" si="1"/>
        <v>0</v>
      </c>
      <c r="F29" s="4">
        <f t="shared" si="11"/>
        <v>0</v>
      </c>
      <c r="G29" s="2">
        <f t="shared" si="3"/>
        <v>0</v>
      </c>
      <c r="H29" s="2">
        <f t="shared" si="4"/>
        <v>0</v>
      </c>
      <c r="I29" s="2">
        <f t="shared" si="5"/>
        <v>0</v>
      </c>
      <c r="J29" s="2">
        <f t="shared" si="6"/>
        <v>0</v>
      </c>
      <c r="K29" s="2">
        <f t="shared" si="7"/>
        <v>0</v>
      </c>
      <c r="L29" s="2">
        <f t="shared" si="8"/>
        <v>0</v>
      </c>
      <c r="M29" s="2">
        <f t="shared" si="9"/>
        <v>0</v>
      </c>
      <c r="O29" s="32" t="str">
        <f>IF(J66&gt;90,"  OK",J66)</f>
        <v>  OK</v>
      </c>
      <c r="P29" s="6" t="s">
        <v>1164</v>
      </c>
      <c r="T29" s="4">
        <f>S26*S49</f>
        <v>5896</v>
      </c>
      <c r="U29" t="s">
        <v>887</v>
      </c>
    </row>
    <row r="30" spans="1:16" ht="12.75">
      <c r="A30" s="8" t="s">
        <v>865</v>
      </c>
      <c r="C30" s="2"/>
      <c r="D30" s="2"/>
      <c r="E30" s="2"/>
      <c r="F30" s="4">
        <f>SUM(F3:F29)</f>
        <v>3059.050168888889</v>
      </c>
      <c r="G30" s="2" t="s">
        <v>381</v>
      </c>
      <c r="H30" s="2" t="s">
        <v>355</v>
      </c>
      <c r="I30" s="2" t="s">
        <v>356</v>
      </c>
      <c r="J30" s="2" t="s">
        <v>357</v>
      </c>
      <c r="K30" s="2" t="s">
        <v>358</v>
      </c>
      <c r="L30" s="2" t="s">
        <v>359</v>
      </c>
      <c r="M30" s="2" t="s">
        <v>378</v>
      </c>
      <c r="O30" s="73" t="str">
        <f>IF(O29="  OK","  OK",O29*24)</f>
        <v>  OK</v>
      </c>
      <c r="P30" s="6" t="s">
        <v>1166</v>
      </c>
    </row>
    <row r="31" spans="1:14" ht="12.75">
      <c r="A31" s="8" t="s">
        <v>1080</v>
      </c>
      <c r="B31" s="10">
        <f>SUM(B3:B29)</f>
        <v>191.4</v>
      </c>
      <c r="C31" s="2">
        <f>SUM(C3:C29)</f>
        <v>18.139422222222223</v>
      </c>
      <c r="D31" s="2"/>
      <c r="E31" s="78">
        <f aca="true" t="shared" si="12" ref="E31:J31">SUM(E3:E29)</f>
        <v>254.42020740740742</v>
      </c>
      <c r="F31" s="4">
        <f t="shared" si="12"/>
        <v>3059.050168888889</v>
      </c>
      <c r="G31" s="2">
        <f t="shared" si="12"/>
        <v>169.61347160493824</v>
      </c>
      <c r="H31" s="2">
        <f t="shared" si="12"/>
        <v>254.42020740740742</v>
      </c>
      <c r="I31" s="2">
        <f t="shared" si="12"/>
        <v>340.9230779259259</v>
      </c>
      <c r="J31" s="2">
        <f t="shared" si="12"/>
        <v>508.84041481481484</v>
      </c>
      <c r="K31" s="2">
        <f>J31*2</f>
        <v>1017.6808296296297</v>
      </c>
      <c r="L31" s="2">
        <f>J31*3</f>
        <v>1526.5212444444446</v>
      </c>
      <c r="M31" s="2">
        <f>J31*4</f>
        <v>2035.3616592592593</v>
      </c>
      <c r="N31" s="8" t="s">
        <v>341</v>
      </c>
    </row>
    <row r="32" spans="4:16" ht="12.75">
      <c r="D32" t="s">
        <v>1122</v>
      </c>
      <c r="G32" s="2">
        <f>G31/2</f>
        <v>84.80673580246912</v>
      </c>
      <c r="H32" s="2">
        <f>H31/2</f>
        <v>127.21010370370371</v>
      </c>
      <c r="I32" s="2">
        <f>I31/2</f>
        <v>170.46153896296295</v>
      </c>
      <c r="J32" s="2">
        <f>MAX(0,IF(J53&gt;0,(J31/$U$15)-J53,J31/$U$15))</f>
        <v>58.73528433048435</v>
      </c>
      <c r="K32" s="2">
        <f>J32*2</f>
        <v>117.4705686609687</v>
      </c>
      <c r="L32" s="2">
        <f>J32*3</f>
        <v>176.20585299145304</v>
      </c>
      <c r="M32" s="2">
        <f>J32*4</f>
        <v>234.9411373219374</v>
      </c>
      <c r="O32" s="33">
        <f>O16+J53</f>
        <v>615.684923076923</v>
      </c>
      <c r="P32" s="6" t="s">
        <v>439</v>
      </c>
    </row>
    <row r="33" spans="1:16" ht="12.75">
      <c r="A33" s="8" t="s">
        <v>753</v>
      </c>
      <c r="D33" t="s">
        <v>810</v>
      </c>
      <c r="G33" s="2">
        <f aca="true" t="shared" si="13" ref="G33:M33">G32/$O$16*100</f>
        <v>20.19207995296884</v>
      </c>
      <c r="H33" s="2">
        <f t="shared" si="13"/>
        <v>30.288119929453266</v>
      </c>
      <c r="I33" s="2">
        <f t="shared" si="13"/>
        <v>40.58608070546737</v>
      </c>
      <c r="J33" s="2">
        <f t="shared" si="13"/>
        <v>13.984591507258179</v>
      </c>
      <c r="K33" s="2">
        <f t="shared" si="13"/>
        <v>27.969183014516357</v>
      </c>
      <c r="L33" s="2">
        <f t="shared" si="13"/>
        <v>41.953774521774534</v>
      </c>
      <c r="M33" s="2">
        <f t="shared" si="13"/>
        <v>55.938366029032714</v>
      </c>
      <c r="O33" s="33">
        <f>O16+J62</f>
        <v>717.9747692307692</v>
      </c>
      <c r="P33" s="6" t="s">
        <v>440</v>
      </c>
    </row>
    <row r="34" spans="4:20" ht="12.75">
      <c r="D34" t="s">
        <v>365</v>
      </c>
      <c r="G34" s="2">
        <f aca="true" t="shared" si="14" ref="G34:M34">G32*1.15</f>
        <v>97.52774617283949</v>
      </c>
      <c r="H34" s="2">
        <f t="shared" si="14"/>
        <v>146.29161925925925</v>
      </c>
      <c r="I34" s="2">
        <f t="shared" si="14"/>
        <v>196.03076980740738</v>
      </c>
      <c r="J34" s="2">
        <f t="shared" si="14"/>
        <v>67.54557698005699</v>
      </c>
      <c r="K34" s="2">
        <f t="shared" si="14"/>
        <v>135.09115396011399</v>
      </c>
      <c r="L34" s="2">
        <f t="shared" si="14"/>
        <v>202.636730940171</v>
      </c>
      <c r="M34" s="2">
        <f t="shared" si="14"/>
        <v>270.18230792022797</v>
      </c>
      <c r="O34" s="6" t="s">
        <v>445</v>
      </c>
      <c r="T34" s="50">
        <v>68</v>
      </c>
    </row>
    <row r="35" spans="7:20" ht="12.75">
      <c r="G35" s="2"/>
      <c r="H35" s="2"/>
      <c r="I35" s="2"/>
      <c r="J35" s="2"/>
      <c r="K35" s="2"/>
      <c r="L35" s="2"/>
      <c r="M35" s="2"/>
      <c r="O35" s="6" t="s">
        <v>719</v>
      </c>
      <c r="T35" s="50">
        <v>6</v>
      </c>
    </row>
    <row r="36" spans="4:20" ht="12.75">
      <c r="D36" t="s">
        <v>441</v>
      </c>
      <c r="G36" s="2">
        <f aca="true" t="shared" si="15" ref="G36:M36">G32/$O$32*100</f>
        <v>13.774372674036304</v>
      </c>
      <c r="H36" s="2">
        <f t="shared" si="15"/>
        <v>20.661559011054457</v>
      </c>
      <c r="I36" s="2">
        <f t="shared" si="15"/>
        <v>27.686489074812968</v>
      </c>
      <c r="J36" s="2">
        <f t="shared" si="15"/>
        <v>9.539828267509161</v>
      </c>
      <c r="K36" s="2">
        <f t="shared" si="15"/>
        <v>19.079656535018323</v>
      </c>
      <c r="L36" s="2">
        <f t="shared" si="15"/>
        <v>28.619484802527488</v>
      </c>
      <c r="M36" s="2">
        <f t="shared" si="15"/>
        <v>38.159313070036646</v>
      </c>
      <c r="O36" s="6" t="s">
        <v>443</v>
      </c>
      <c r="T36" s="50">
        <v>40</v>
      </c>
    </row>
    <row r="37" spans="4:15" ht="12.75">
      <c r="D37" t="s">
        <v>442</v>
      </c>
      <c r="G37" s="2">
        <f aca="true" t="shared" si="16" ref="G37:M37">G32/$O$33*100</f>
        <v>11.811938167873251</v>
      </c>
      <c r="H37" s="2">
        <f t="shared" si="16"/>
        <v>17.71790725180988</v>
      </c>
      <c r="I37" s="2">
        <f t="shared" si="16"/>
        <v>23.741995717425237</v>
      </c>
      <c r="J37" s="2">
        <f t="shared" si="16"/>
        <v>8.18068918959544</v>
      </c>
      <c r="K37" s="2">
        <f t="shared" si="16"/>
        <v>16.36137837919088</v>
      </c>
      <c r="L37" s="2">
        <f t="shared" si="16"/>
        <v>24.542067568786322</v>
      </c>
      <c r="M37" s="2">
        <f t="shared" si="16"/>
        <v>32.72275675838176</v>
      </c>
      <c r="O37" s="6" t="s">
        <v>1113</v>
      </c>
    </row>
    <row r="38" spans="7:15" ht="12.75">
      <c r="G38" s="2"/>
      <c r="H38" s="2"/>
      <c r="I38" s="2"/>
      <c r="J38" s="2"/>
      <c r="K38" s="2"/>
      <c r="L38" s="2"/>
      <c r="M38" s="2"/>
      <c r="O38" s="6" t="s">
        <v>675</v>
      </c>
    </row>
    <row r="39" spans="1:17" ht="12.75">
      <c r="A39" t="s">
        <v>303</v>
      </c>
      <c r="G39" s="88" t="s">
        <v>734</v>
      </c>
      <c r="H39" s="2"/>
      <c r="I39" s="2"/>
      <c r="J39" s="2"/>
      <c r="K39" s="2"/>
      <c r="L39" s="2"/>
      <c r="M39" s="2"/>
      <c r="O39" t="s">
        <v>749</v>
      </c>
      <c r="Q39" t="s">
        <v>748</v>
      </c>
    </row>
    <row r="40" spans="1:19" ht="12.75">
      <c r="A40" t="s">
        <v>304</v>
      </c>
      <c r="C40" t="s">
        <v>1176</v>
      </c>
      <c r="E40">
        <v>500</v>
      </c>
      <c r="F40" t="s">
        <v>201</v>
      </c>
      <c r="G40" s="2">
        <f>G34/Q40</f>
        <v>4.061195236343296</v>
      </c>
      <c r="H40" s="2">
        <f>H34/Q40</f>
        <v>6.091792854514944</v>
      </c>
      <c r="I40" s="2">
        <f>I34/Q40</f>
        <v>8.163002425050024</v>
      </c>
      <c r="J40" s="2">
        <f>J34/Q40</f>
        <v>2.8126947072202624</v>
      </c>
      <c r="K40" s="2">
        <f aca="true" t="shared" si="17" ref="K40:K46">J40*2</f>
        <v>5.625389414440525</v>
      </c>
      <c r="L40" s="2">
        <f aca="true" t="shared" si="18" ref="L40:L46">J40*3</f>
        <v>8.438084121660786</v>
      </c>
      <c r="M40" s="2">
        <f aca="true" t="shared" si="19" ref="M40:M46">J40*4</f>
        <v>11.25077882888105</v>
      </c>
      <c r="N40" t="s">
        <v>1142</v>
      </c>
      <c r="O40" s="10">
        <f aca="true" t="shared" si="20" ref="O40:O45">E40/13*0.9</f>
        <v>34.61538461538461</v>
      </c>
      <c r="Q40" s="10">
        <f>O40-B53</f>
        <v>24.014542640075973</v>
      </c>
      <c r="S40" s="2"/>
    </row>
    <row r="41" spans="1:19" ht="12.75">
      <c r="A41" t="s">
        <v>224</v>
      </c>
      <c r="C41" t="s">
        <v>1176</v>
      </c>
      <c r="E41">
        <v>610</v>
      </c>
      <c r="F41" t="s">
        <v>201</v>
      </c>
      <c r="G41" s="2">
        <f>G34/Q41</f>
        <v>3.083400900202902</v>
      </c>
      <c r="H41" s="2">
        <f>H34/Q41</f>
        <v>4.625101350304354</v>
      </c>
      <c r="I41" s="2">
        <f>I34/Q41</f>
        <v>6.197635809407834</v>
      </c>
      <c r="J41" s="2">
        <f>J34/Q41</f>
        <v>2.1354958054288895</v>
      </c>
      <c r="K41" s="2">
        <f t="shared" si="17"/>
        <v>4.270991610857779</v>
      </c>
      <c r="L41" s="2">
        <f t="shared" si="18"/>
        <v>6.4064874162866685</v>
      </c>
      <c r="M41" s="2">
        <f t="shared" si="19"/>
        <v>8.541983221715558</v>
      </c>
      <c r="N41" t="s">
        <v>1142</v>
      </c>
      <c r="O41" s="10">
        <f t="shared" si="20"/>
        <v>42.230769230769226</v>
      </c>
      <c r="Q41" s="10">
        <f>O41-B53</f>
        <v>31.629927255460586</v>
      </c>
      <c r="S41" s="20" t="s">
        <v>889</v>
      </c>
    </row>
    <row r="42" spans="1:19" ht="12.75">
      <c r="A42" t="s">
        <v>222</v>
      </c>
      <c r="C42" t="s">
        <v>1176</v>
      </c>
      <c r="E42">
        <v>1110</v>
      </c>
      <c r="F42" t="s">
        <v>201</v>
      </c>
      <c r="G42" s="2">
        <f>G34/Q42</f>
        <v>1.472221103932364</v>
      </c>
      <c r="H42" s="2">
        <f>H34/Q42</f>
        <v>2.2083316558985464</v>
      </c>
      <c r="I42" s="2">
        <f>I34/Q42</f>
        <v>2.9591644189040522</v>
      </c>
      <c r="J42" s="2">
        <f>J34/Q42</f>
        <v>1.0196280321201723</v>
      </c>
      <c r="K42" s="2">
        <f t="shared" si="17"/>
        <v>2.0392560642403446</v>
      </c>
      <c r="L42" s="2">
        <f t="shared" si="18"/>
        <v>3.058884096360517</v>
      </c>
      <c r="M42" s="2">
        <f t="shared" si="19"/>
        <v>4.078512128480689</v>
      </c>
      <c r="N42" t="s">
        <v>1142</v>
      </c>
      <c r="O42" s="10">
        <f t="shared" si="20"/>
        <v>76.84615384615385</v>
      </c>
      <c r="Q42" s="10">
        <f>O42-B53</f>
        <v>66.24531187084521</v>
      </c>
      <c r="S42" t="s">
        <v>363</v>
      </c>
    </row>
    <row r="43" spans="1:19" ht="12.75">
      <c r="A43" t="s">
        <v>223</v>
      </c>
      <c r="C43" t="s">
        <v>1176</v>
      </c>
      <c r="E43">
        <v>1510</v>
      </c>
      <c r="F43" t="s">
        <v>201</v>
      </c>
      <c r="G43" s="2">
        <f>G34/Q43</f>
        <v>1.0382181986980519</v>
      </c>
      <c r="H43" s="2">
        <f>H34/Q43</f>
        <v>1.557327298047078</v>
      </c>
      <c r="I43" s="2">
        <f>I34/Q43</f>
        <v>2.0868185793830842</v>
      </c>
      <c r="J43" s="2">
        <f>J34/Q43</f>
        <v>0.719047143137868</v>
      </c>
      <c r="K43" s="2">
        <f t="shared" si="17"/>
        <v>1.438094286275736</v>
      </c>
      <c r="L43" s="2">
        <f t="shared" si="18"/>
        <v>2.157141429413604</v>
      </c>
      <c r="M43" s="2">
        <f t="shared" si="19"/>
        <v>2.876188572551472</v>
      </c>
      <c r="N43" t="s">
        <v>1142</v>
      </c>
      <c r="O43" s="10">
        <f t="shared" si="20"/>
        <v>104.53846153846155</v>
      </c>
      <c r="Q43" s="10">
        <f>O43-B53</f>
        <v>93.93761956315291</v>
      </c>
      <c r="S43" t="s">
        <v>1114</v>
      </c>
    </row>
    <row r="44" spans="2:19" ht="12.75">
      <c r="B44" s="29"/>
      <c r="C44" t="s">
        <v>1176</v>
      </c>
      <c r="E44">
        <v>2500</v>
      </c>
      <c r="F44" t="s">
        <v>201</v>
      </c>
      <c r="G44" s="2">
        <f>G34/Q44</f>
        <v>0.6002590997492393</v>
      </c>
      <c r="H44" s="2">
        <f>H34/Q44</f>
        <v>0.9003886496238591</v>
      </c>
      <c r="I44" s="2">
        <f>I34/Q44</f>
        <v>1.2065207904959712</v>
      </c>
      <c r="J44" s="2">
        <f>J34/Q44</f>
        <v>0.415726281198358</v>
      </c>
      <c r="K44" s="2">
        <f t="shared" si="17"/>
        <v>0.831452562396716</v>
      </c>
      <c r="L44" s="2">
        <f t="shared" si="18"/>
        <v>1.2471788435950741</v>
      </c>
      <c r="M44" s="2">
        <f t="shared" si="19"/>
        <v>1.662905124793432</v>
      </c>
      <c r="N44" t="s">
        <v>1142</v>
      </c>
      <c r="O44" s="10">
        <f t="shared" si="20"/>
        <v>173.0769230769231</v>
      </c>
      <c r="Q44" s="10">
        <f>O44-B53</f>
        <v>162.47608110161445</v>
      </c>
      <c r="S44" t="s">
        <v>1115</v>
      </c>
    </row>
    <row r="45" spans="1:19" ht="12.75">
      <c r="A45" t="s">
        <v>302</v>
      </c>
      <c r="C45" t="s">
        <v>1176</v>
      </c>
      <c r="E45">
        <v>4000</v>
      </c>
      <c r="F45" t="s">
        <v>201</v>
      </c>
      <c r="G45" s="2">
        <f>G34/Q45</f>
        <v>0.3662020416431503</v>
      </c>
      <c r="H45" s="2">
        <f>H34/Q45</f>
        <v>0.5493030624647255</v>
      </c>
      <c r="I45" s="2">
        <f>I34/Q45</f>
        <v>0.7360661037027321</v>
      </c>
      <c r="J45" s="2">
        <f>J34/Q45</f>
        <v>0.2536234985911116</v>
      </c>
      <c r="K45" s="2">
        <f t="shared" si="17"/>
        <v>0.5072469971822232</v>
      </c>
      <c r="L45" s="2">
        <f t="shared" si="18"/>
        <v>0.7608704957733348</v>
      </c>
      <c r="M45" s="2">
        <f t="shared" si="19"/>
        <v>1.0144939943644464</v>
      </c>
      <c r="N45" t="s">
        <v>1142</v>
      </c>
      <c r="O45" s="10">
        <f t="shared" si="20"/>
        <v>276.9230769230769</v>
      </c>
      <c r="Q45" s="10">
        <f>O45-B53</f>
        <v>266.32223494776827</v>
      </c>
      <c r="S45" t="s">
        <v>364</v>
      </c>
    </row>
    <row r="46" spans="1:17" ht="12.75">
      <c r="A46" t="s">
        <v>1051</v>
      </c>
      <c r="C46" t="s">
        <v>1143</v>
      </c>
      <c r="G46" s="2">
        <f>G34/Q46</f>
        <v>1.7928172000120368</v>
      </c>
      <c r="H46" s="2">
        <f>H34/Q46</f>
        <v>2.689225800018056</v>
      </c>
      <c r="I46" s="2">
        <f>I34/Q46</f>
        <v>3.6035625720241944</v>
      </c>
      <c r="J46" s="2">
        <f>(J32*1.15)/Q46</f>
        <v>1.2416658535302803</v>
      </c>
      <c r="K46" s="2">
        <f t="shared" si="17"/>
        <v>2.4833317070605605</v>
      </c>
      <c r="L46" s="2">
        <f t="shared" si="18"/>
        <v>3.7249975605908405</v>
      </c>
      <c r="M46" s="2">
        <f t="shared" si="19"/>
        <v>4.966663414121121</v>
      </c>
      <c r="N46" t="s">
        <v>1142</v>
      </c>
      <c r="O46" s="10">
        <v>65</v>
      </c>
      <c r="Q46" s="10">
        <f>O46-B53</f>
        <v>54.39915802469136</v>
      </c>
    </row>
    <row r="47" spans="7:20" ht="12.75">
      <c r="G47" s="2"/>
      <c r="H47" s="2"/>
      <c r="I47" s="2"/>
      <c r="J47" s="2"/>
      <c r="K47" s="2"/>
      <c r="L47" s="2"/>
      <c r="M47" s="2"/>
      <c r="S47" t="s">
        <v>327</v>
      </c>
      <c r="T47" t="s">
        <v>808</v>
      </c>
    </row>
    <row r="48" spans="1:20" ht="12.75">
      <c r="A48" t="s">
        <v>1149</v>
      </c>
      <c r="B48" t="s">
        <v>579</v>
      </c>
      <c r="C48" t="s">
        <v>807</v>
      </c>
      <c r="G48" s="2">
        <f>G34/Q44</f>
        <v>0.6002590997492393</v>
      </c>
      <c r="H48" s="2">
        <f>H34/Q44</f>
        <v>0.9003886496238591</v>
      </c>
      <c r="I48" s="2">
        <f>I34/Q44</f>
        <v>1.2065207904959712</v>
      </c>
      <c r="J48" s="2">
        <f>J34/Q44</f>
        <v>0.415726281198358</v>
      </c>
      <c r="K48" s="2">
        <f>K34/Q44</f>
        <v>0.831452562396716</v>
      </c>
      <c r="L48" s="2">
        <f>L34/Q44</f>
        <v>1.2471788435950741</v>
      </c>
      <c r="M48" s="2">
        <f>M34/Q44</f>
        <v>1.662905124793432</v>
      </c>
      <c r="O48" t="s">
        <v>347</v>
      </c>
      <c r="S48">
        <v>3.52</v>
      </c>
      <c r="T48">
        <v>3.46</v>
      </c>
    </row>
    <row r="49" spans="1:20" ht="12.75">
      <c r="A49" t="s">
        <v>1150</v>
      </c>
      <c r="B49" t="s">
        <v>579</v>
      </c>
      <c r="C49" t="s">
        <v>319</v>
      </c>
      <c r="G49" s="2">
        <f>G34/Q44</f>
        <v>0.6002590997492393</v>
      </c>
      <c r="H49" s="2">
        <f>H34/Q44</f>
        <v>0.9003886496238591</v>
      </c>
      <c r="I49" s="2">
        <f>I34/Q44</f>
        <v>1.2065207904959712</v>
      </c>
      <c r="J49" s="2">
        <f>J34/Q44</f>
        <v>0.415726281198358</v>
      </c>
      <c r="K49" s="2">
        <f>K34/Q44</f>
        <v>0.831452562396716</v>
      </c>
      <c r="L49" s="2">
        <f>L34/Q44</f>
        <v>1.2471788435950741</v>
      </c>
      <c r="M49" s="2">
        <f>M34/Q44</f>
        <v>1.662905124793432</v>
      </c>
      <c r="O49" t="s">
        <v>348</v>
      </c>
      <c r="S49">
        <v>5.36</v>
      </c>
      <c r="T49">
        <v>6.1</v>
      </c>
    </row>
    <row r="50" spans="1:19" ht="12.75">
      <c r="A50" t="s">
        <v>1151</v>
      </c>
      <c r="B50" t="s">
        <v>579</v>
      </c>
      <c r="C50" t="s">
        <v>361</v>
      </c>
      <c r="G50" s="2">
        <f>G34/Q44</f>
        <v>0.6002590997492393</v>
      </c>
      <c r="H50" s="2">
        <f>H34/Q44</f>
        <v>0.9003886496238591</v>
      </c>
      <c r="I50" s="2">
        <f>I34/Q44</f>
        <v>1.2065207904959712</v>
      </c>
      <c r="J50" s="2">
        <f>J34/Q44</f>
        <v>0.415726281198358</v>
      </c>
      <c r="K50" s="2">
        <f>K34/Q44</f>
        <v>0.831452562396716</v>
      </c>
      <c r="L50" s="2">
        <f>L34/Q44</f>
        <v>1.2471788435950741</v>
      </c>
      <c r="M50" s="2">
        <f>M34/Q44</f>
        <v>1.662905124793432</v>
      </c>
      <c r="O50" t="s">
        <v>362</v>
      </c>
      <c r="S50" s="2">
        <f>(S48+S49)/2</f>
        <v>4.44</v>
      </c>
    </row>
    <row r="51" spans="1:10" ht="12.75">
      <c r="A51" t="s">
        <v>1152</v>
      </c>
      <c r="J51" s="35"/>
    </row>
    <row r="52" spans="1:19" ht="12.75">
      <c r="A52" t="s">
        <v>1153</v>
      </c>
      <c r="B52" s="10"/>
      <c r="E52" s="87" t="s">
        <v>575</v>
      </c>
      <c r="I52" t="s">
        <v>715</v>
      </c>
      <c r="J52" s="2">
        <f>J31/2</f>
        <v>254.42020740740742</v>
      </c>
      <c r="L52" s="2"/>
      <c r="M52" s="2"/>
      <c r="S52" t="s">
        <v>324</v>
      </c>
    </row>
    <row r="53" spans="1:20" ht="12.75">
      <c r="A53" t="s">
        <v>1154</v>
      </c>
      <c r="B53" s="10">
        <f>E31/24</f>
        <v>10.600841975308642</v>
      </c>
      <c r="D53" s="50">
        <v>1100</v>
      </c>
      <c r="E53" s="50" t="s">
        <v>542</v>
      </c>
      <c r="G53" t="s">
        <v>466</v>
      </c>
      <c r="J53" s="2">
        <f>(D53/13*0.9*S48*0.73)+T9</f>
        <v>195.68492307692307</v>
      </c>
      <c r="K53" t="s">
        <v>1170</v>
      </c>
      <c r="L53" s="2">
        <f>J53/0.73</f>
        <v>268.0615384615385</v>
      </c>
      <c r="M53" t="s">
        <v>1171</v>
      </c>
      <c r="Q53" t="s">
        <v>325</v>
      </c>
      <c r="S53">
        <v>3.43</v>
      </c>
      <c r="T53" t="s">
        <v>892</v>
      </c>
    </row>
    <row r="54" spans="10:20" ht="12.75">
      <c r="J54" s="2"/>
      <c r="K54" s="2">
        <f>IF($J$52&gt;J53,0,J53-$J$52)</f>
        <v>0</v>
      </c>
      <c r="L54" s="2">
        <f>IF($J$52&gt;L53,0,L53-$J$52)</f>
        <v>13.641331054131058</v>
      </c>
      <c r="M54" t="s">
        <v>430</v>
      </c>
      <c r="Q54" t="s">
        <v>326</v>
      </c>
      <c r="S54">
        <v>5.23</v>
      </c>
      <c r="T54" t="s">
        <v>255</v>
      </c>
    </row>
    <row r="55" spans="1:10" ht="12.75">
      <c r="A55" t="s">
        <v>961</v>
      </c>
      <c r="H55" t="s">
        <v>385</v>
      </c>
      <c r="J55" s="2">
        <f>IF(J53&gt;J52,0,J52-J53)</f>
        <v>58.73528433048435</v>
      </c>
    </row>
    <row r="56" spans="1:15" ht="12.75">
      <c r="A56" t="s">
        <v>959</v>
      </c>
      <c r="O56" t="s">
        <v>350</v>
      </c>
    </row>
    <row r="57" spans="1:15" ht="12.75">
      <c r="A57" t="s">
        <v>962</v>
      </c>
      <c r="F57">
        <f>D53</f>
        <v>1100</v>
      </c>
      <c r="G57" t="s">
        <v>465</v>
      </c>
      <c r="J57" s="2">
        <f>IF(J53&gt;J52,"  OK",(O16/2)/J55)</f>
        <v>3.5753636403358207</v>
      </c>
      <c r="O57" t="s">
        <v>354</v>
      </c>
    </row>
    <row r="58" spans="1:15" ht="12.75">
      <c r="A58" t="s">
        <v>964</v>
      </c>
      <c r="O58" t="s">
        <v>351</v>
      </c>
    </row>
    <row r="59" spans="1:15" ht="12.75">
      <c r="A59" t="s">
        <v>960</v>
      </c>
      <c r="O59" t="s">
        <v>352</v>
      </c>
    </row>
    <row r="60" spans="1:15" ht="12.75">
      <c r="A60" t="s">
        <v>963</v>
      </c>
      <c r="O60" t="s">
        <v>353</v>
      </c>
    </row>
    <row r="61" spans="1:10" ht="12.75">
      <c r="A61" t="s">
        <v>965</v>
      </c>
      <c r="E61" s="60" t="s">
        <v>625</v>
      </c>
      <c r="I61" t="s">
        <v>1122</v>
      </c>
      <c r="J61" s="2">
        <f>J31/2</f>
        <v>254.42020740740742</v>
      </c>
    </row>
    <row r="62" spans="1:15" ht="12.75">
      <c r="A62" t="s">
        <v>966</v>
      </c>
      <c r="H62" t="s">
        <v>626</v>
      </c>
      <c r="J62" s="2">
        <f>(D53/13*0.9*S49*0.73)+T9</f>
        <v>297.97476923076925</v>
      </c>
      <c r="K62" t="s">
        <v>1170</v>
      </c>
      <c r="L62" s="2">
        <f>J62/0.73</f>
        <v>408.1846153846154</v>
      </c>
      <c r="M62" t="s">
        <v>1171</v>
      </c>
      <c r="O62" t="s">
        <v>472</v>
      </c>
    </row>
    <row r="63" spans="11:19" ht="12.75">
      <c r="K63" s="2">
        <f>IF(J61&gt;J62,0,J62-J61)</f>
        <v>43.55456182336184</v>
      </c>
      <c r="L63" s="2">
        <f>IF(J61&gt;L62,0,L62-J61)</f>
        <v>153.764407977208</v>
      </c>
      <c r="M63" t="s">
        <v>431</v>
      </c>
      <c r="Q63" t="s">
        <v>474</v>
      </c>
      <c r="S63" t="s">
        <v>475</v>
      </c>
    </row>
    <row r="64" spans="8:19" ht="12.75">
      <c r="H64" t="s">
        <v>389</v>
      </c>
      <c r="J64" s="2">
        <f>IF(J62&gt;J61,0,J61-J62)</f>
        <v>0</v>
      </c>
      <c r="L64" s="2">
        <f>(J64/O16)*100</f>
        <v>0</v>
      </c>
      <c r="M64" t="s">
        <v>449</v>
      </c>
      <c r="Q64">
        <v>2601</v>
      </c>
      <c r="S64">
        <v>2800</v>
      </c>
    </row>
    <row r="65" spans="15:19" ht="12.75">
      <c r="O65" t="s">
        <v>473</v>
      </c>
      <c r="Q65" s="2">
        <f>2601/365.25</f>
        <v>7.121149897330596</v>
      </c>
      <c r="S65" s="2">
        <f>2800/365.25</f>
        <v>7.665982203969883</v>
      </c>
    </row>
    <row r="66" spans="6:15" ht="12.75">
      <c r="F66">
        <f>D53</f>
        <v>1100</v>
      </c>
      <c r="G66" t="s">
        <v>716</v>
      </c>
      <c r="J66" s="2" t="str">
        <f>IF(J62&gt;J61,"  OK",(O16/2)/J64)</f>
        <v>  OK</v>
      </c>
      <c r="O66" t="s">
        <v>476</v>
      </c>
    </row>
    <row r="67" spans="15:20" ht="12.75">
      <c r="O67" t="s">
        <v>477</v>
      </c>
      <c r="T67" t="s">
        <v>478</v>
      </c>
    </row>
    <row r="68" spans="1:19" ht="12.75">
      <c r="A68" t="s">
        <v>806</v>
      </c>
      <c r="S68" t="s">
        <v>482</v>
      </c>
    </row>
    <row r="69" ht="12.75">
      <c r="S69" t="s">
        <v>480</v>
      </c>
    </row>
    <row r="70" spans="1:19" ht="12.75">
      <c r="A70" t="s">
        <v>410</v>
      </c>
      <c r="S70" t="s">
        <v>481</v>
      </c>
    </row>
    <row r="71" ht="12.75">
      <c r="A71" t="s">
        <v>413</v>
      </c>
    </row>
    <row r="76" ht="12.75">
      <c r="A76" t="s">
        <v>403</v>
      </c>
    </row>
  </sheetData>
  <sheetProtection/>
  <conditionalFormatting sqref="G31:M31">
    <cfRule type="cellIs" priority="1" dxfId="4" operator="greaterThan" stopIfTrue="1">
      <formula>$O$16</formula>
    </cfRule>
  </conditionalFormatting>
  <conditionalFormatting sqref="B31">
    <cfRule type="cellIs" priority="2" dxfId="4" operator="greaterThan" stopIfTrue="1">
      <formula>$O$18</formula>
    </cfRule>
  </conditionalFormatting>
  <conditionalFormatting sqref="G40:M45 G48:M48">
    <cfRule type="cellIs" priority="3" dxfId="10" operator="greaterThan" stopIfTrue="1">
      <formula>$S$48</formula>
    </cfRule>
    <cfRule type="cellIs" priority="4" dxfId="0" operator="lessThanOrEqual" stopIfTrue="1">
      <formula>$S$48</formula>
    </cfRule>
  </conditionalFormatting>
  <conditionalFormatting sqref="G49:M49">
    <cfRule type="cellIs" priority="5" dxfId="10" operator="greaterThan" stopIfTrue="1">
      <formula>$S$49</formula>
    </cfRule>
    <cfRule type="cellIs" priority="6" dxfId="0" operator="lessThanOrEqual" stopIfTrue="1">
      <formula>$S$49</formula>
    </cfRule>
  </conditionalFormatting>
  <conditionalFormatting sqref="G50:M50">
    <cfRule type="cellIs" priority="7" dxfId="10" operator="greaterThan" stopIfTrue="1">
      <formula>$S$50</formula>
    </cfRule>
    <cfRule type="cellIs" priority="8" dxfId="0" operator="lessThanOrEqual" stopIfTrue="1">
      <formula>$S$50</formula>
    </cfRule>
  </conditionalFormatting>
  <conditionalFormatting sqref="G46:M46">
    <cfRule type="cellIs" priority="9" dxfId="0" operator="lessThan" stopIfTrue="1">
      <formula>24</formula>
    </cfRule>
    <cfRule type="cellIs" priority="10" dxfId="4" operator="greaterThanOrEqual" stopIfTrue="1">
      <formula>24</formula>
    </cfRule>
  </conditionalFormatting>
  <conditionalFormatting sqref="J32:M34 J36:M37">
    <cfRule type="cellIs" priority="11" dxfId="0" operator="lessThan" stopIfTrue="1">
      <formula>0</formula>
    </cfRule>
  </conditionalFormatting>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 Solar Generator</dc:title>
  <dc:subject/>
  <dc:creator>J. E. Carter</dc:creator>
  <cp:keywords/>
  <dc:description/>
  <cp:lastModifiedBy>John</cp:lastModifiedBy>
  <dcterms:created xsi:type="dcterms:W3CDTF">2017-03-30T01:00:01Z</dcterms:created>
  <dcterms:modified xsi:type="dcterms:W3CDTF">2024-04-03T10:15:07Z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